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66925"/>
  <mc:AlternateContent xmlns:mc="http://schemas.openxmlformats.org/markup-compatibility/2006">
    <mc:Choice Requires="x15">
      <x15ac:absPath xmlns:x15ac="http://schemas.microsoft.com/office/spreadsheetml/2010/11/ac" url="C:\Users\terrwise\Aspen Dropbox\Terrance Wise\Aspen Funds (Co-Sponsor Deals)\1_ Deals - Active\2023\Madison Overland Park - Condo.Multi Family - Light Value Add\UW\"/>
    </mc:Choice>
  </mc:AlternateContent>
  <xr:revisionPtr revIDLastSave="0" documentId="13_ncr:1_{CB0D026B-90C8-4E83-84E2-DCDFF864CBA4}" xr6:coauthVersionLast="47" xr6:coauthVersionMax="47" xr10:uidLastSave="{00000000-0000-0000-0000-000000000000}"/>
  <bookViews>
    <workbookView xWindow="28680" yWindow="315" windowWidth="29040" windowHeight="17520" tabRatio="667" firstSheet="1" activeTab="3" xr2:uid="{A72DC07E-87F1-4986-B8F7-6E25918B8ACF}"/>
  </bookViews>
  <sheets>
    <sheet name="Summary" sheetId="6" state="hidden" r:id="rId1"/>
    <sheet name="Inputs &amp; Assumptions" sheetId="3" r:id="rId2"/>
    <sheet name="Tax Analysis" sheetId="49" r:id="rId3"/>
    <sheet name="Cash Flows &amp; Summary" sheetId="25" r:id="rId4"/>
    <sheet name="Email Snap Shot" sheetId="38" state="hidden" r:id="rId5"/>
    <sheet name="Pro Forma" sheetId="1" r:id="rId6"/>
    <sheet name="Waterfall" sheetId="17" r:id="rId7"/>
    <sheet name="Sensitivities" sheetId="16" state="hidden" r:id="rId8"/>
    <sheet name="Granular rates" sheetId="20" state="hidden" r:id="rId9"/>
    <sheet name="CapEx " sheetId="39" state="hidden" r:id="rId10"/>
    <sheet name="Capex-2" sheetId="44" state="hidden" r:id="rId11"/>
    <sheet name="7acres Schedule" sheetId="52" r:id="rId12"/>
    <sheet name="Capex-Final" sheetId="45" r:id="rId13"/>
    <sheet name="Amortization" sheetId="24" r:id="rId14"/>
    <sheet name="Draw Schedule" sheetId="36" state="hidden" r:id="rId15"/>
    <sheet name="Costar" sheetId="40" state="hidden" r:id="rId16"/>
    <sheet name="Unit Comps" sheetId="42" r:id="rId17"/>
    <sheet name="Y1Budget" sheetId="48" r:id="rId18"/>
    <sheet name="Loan Matrix" sheetId="18" state="hidden" r:id="rId19"/>
    <sheet name="CapEx" sheetId="15" state="hidden" r:id="rId20"/>
    <sheet name="Comparables" sheetId="11" state="hidden" r:id="rId21"/>
    <sheet name="Preferred Equity" sheetId="19" state="hidden" r:id="rId22"/>
  </sheets>
  <externalReferences>
    <externalReference r:id="rId23"/>
    <externalReference r:id="rId24"/>
  </externalReferences>
  <definedNames>
    <definedName name="_" localSheetId="11" hidden="1">#REF!</definedName>
    <definedName name="_" hidden="1">#REF!</definedName>
    <definedName name="____________mg3" localSheetId="11" hidden="1">{"Main",#N/A,FALSE,"Wacker";"Main2",#N/A,FALSE,"Wacker";"Value",#N/A,FALSE,"Wacker";"Sensitivity",#N/A,FALSE,"Wacker";"Paine",#N/A,FALSE,"Wacker";"Quaker",#N/A,FALSE,"Wacker";"Wacker",#N/A,FALSE,"Wacker";"1900",#N/A,FALSE,"Wacker";"1901",#N/A,FALSE,"Wacker"}</definedName>
    <definedName name="____________mg3" hidden="1">{"Main",#N/A,FALSE,"Wacker";"Main2",#N/A,FALSE,"Wacker";"Value",#N/A,FALSE,"Wacker";"Sensitivity",#N/A,FALSE,"Wacker";"Paine",#N/A,FALSE,"Wacker";"Quaker",#N/A,FALSE,"Wacker";"Wacker",#N/A,FALSE,"Wacker";"1900",#N/A,FALSE,"Wacker";"1901",#N/A,FALSE,"Wacker"}</definedName>
    <definedName name="___________mg3" localSheetId="11" hidden="1">{"Main",#N/A,FALSE,"Wacker";"Main2",#N/A,FALSE,"Wacker";"Value",#N/A,FALSE,"Wacker";"Sensitivity",#N/A,FALSE,"Wacker";"Paine",#N/A,FALSE,"Wacker";"Quaker",#N/A,FALSE,"Wacker";"Wacker",#N/A,FALSE,"Wacker";"1900",#N/A,FALSE,"Wacker";"1901",#N/A,FALSE,"Wacker"}</definedName>
    <definedName name="___________mg3" hidden="1">{"Main",#N/A,FALSE,"Wacker";"Main2",#N/A,FALSE,"Wacker";"Value",#N/A,FALSE,"Wacker";"Sensitivity",#N/A,FALSE,"Wacker";"Paine",#N/A,FALSE,"Wacker";"Quaker",#N/A,FALSE,"Wacker";"Wacker",#N/A,FALSE,"Wacker";"1900",#N/A,FALSE,"Wacker";"1901",#N/A,FALSE,"Wacker"}</definedName>
    <definedName name="__________mg3" localSheetId="11" hidden="1">{"Main",#N/A,FALSE,"Wacker";"Main2",#N/A,FALSE,"Wacker";"Value",#N/A,FALSE,"Wacker";"Sensitivity",#N/A,FALSE,"Wacker";"Paine",#N/A,FALSE,"Wacker";"Quaker",#N/A,FALSE,"Wacker";"Wacker",#N/A,FALSE,"Wacker";"1900",#N/A,FALSE,"Wacker";"1901",#N/A,FALSE,"Wacker"}</definedName>
    <definedName name="__________mg3" hidden="1">{"Main",#N/A,FALSE,"Wacker";"Main2",#N/A,FALSE,"Wacker";"Value",#N/A,FALSE,"Wacker";"Sensitivity",#N/A,FALSE,"Wacker";"Paine",#N/A,FALSE,"Wacker";"Quaker",#N/A,FALSE,"Wacker";"Wacker",#N/A,FALSE,"Wacker";"1900",#N/A,FALSE,"Wacker";"1901",#N/A,FALSE,"Wacker"}</definedName>
    <definedName name="_________mg3" localSheetId="11" hidden="1">{"Main",#N/A,FALSE,"Wacker";"Main2",#N/A,FALSE,"Wacker";"Value",#N/A,FALSE,"Wacker";"Sensitivity",#N/A,FALSE,"Wacker";"Paine",#N/A,FALSE,"Wacker";"Quaker",#N/A,FALSE,"Wacker";"Wacker",#N/A,FALSE,"Wacker";"1900",#N/A,FALSE,"Wacker";"1901",#N/A,FALSE,"Wacker"}</definedName>
    <definedName name="_________mg3" hidden="1">{"Main",#N/A,FALSE,"Wacker";"Main2",#N/A,FALSE,"Wacker";"Value",#N/A,FALSE,"Wacker";"Sensitivity",#N/A,FALSE,"Wacker";"Paine",#N/A,FALSE,"Wacker";"Quaker",#N/A,FALSE,"Wacker";"Wacker",#N/A,FALSE,"Wacker";"1900",#N/A,FALSE,"Wacker";"1901",#N/A,FALSE,"Wacker"}</definedName>
    <definedName name="________mg3" localSheetId="11" hidden="1">{"Main",#N/A,FALSE,"Wacker";"Main2",#N/A,FALSE,"Wacker";"Value",#N/A,FALSE,"Wacker";"Sensitivity",#N/A,FALSE,"Wacker";"Paine",#N/A,FALSE,"Wacker";"Quaker",#N/A,FALSE,"Wacker";"Wacker",#N/A,FALSE,"Wacker";"1900",#N/A,FALSE,"Wacker";"1901",#N/A,FALSE,"Wacker"}</definedName>
    <definedName name="________mg3" hidden="1">{"Main",#N/A,FALSE,"Wacker";"Main2",#N/A,FALSE,"Wacker";"Value",#N/A,FALSE,"Wacker";"Sensitivity",#N/A,FALSE,"Wacker";"Paine",#N/A,FALSE,"Wacker";"Quaker",#N/A,FALSE,"Wacker";"Wacker",#N/A,FALSE,"Wacker";"1900",#N/A,FALSE,"Wacker";"1901",#N/A,FALSE,"Wacker"}</definedName>
    <definedName name="_______a1" localSheetId="11" hidden="1">{"Assump",#N/A,TRUE,"Proforma";"first",#N/A,TRUE,"Proforma";"second",#N/A,TRUE,"Proforma";"lease1",#N/A,TRUE,"Proforma";"lease2",#N/A,TRUE,"Proforma"}</definedName>
    <definedName name="_______a1" hidden="1">{"Assump",#N/A,TRUE,"Proforma";"first",#N/A,TRUE,"Proforma";"second",#N/A,TRUE,"Proforma";"lease1",#N/A,TRUE,"Proforma";"lease2",#N/A,TRUE,"Proforma"}</definedName>
    <definedName name="_______mg3" localSheetId="11" hidden="1">{"Main",#N/A,FALSE,"Wacker";"Main2",#N/A,FALSE,"Wacker";"Value",#N/A,FALSE,"Wacker";"Sensitivity",#N/A,FALSE,"Wacker";"Paine",#N/A,FALSE,"Wacker";"Quaker",#N/A,FALSE,"Wacker";"Wacker",#N/A,FALSE,"Wacker";"1900",#N/A,FALSE,"Wacker";"1901",#N/A,FALSE,"Wacker"}</definedName>
    <definedName name="_______mg3" hidden="1">{"Main",#N/A,FALSE,"Wacker";"Main2",#N/A,FALSE,"Wacker";"Value",#N/A,FALSE,"Wacker";"Sensitivity",#N/A,FALSE,"Wacker";"Paine",#N/A,FALSE,"Wacker";"Quaker",#N/A,FALSE,"Wacker";"Wacker",#N/A,FALSE,"Wacker";"1900",#N/A,FALSE,"Wacker";"1901",#N/A,FALSE,"Wacker"}</definedName>
    <definedName name="______a1" localSheetId="11" hidden="1">{"Assump",#N/A,TRUE,"Proforma";"first",#N/A,TRUE,"Proforma";"second",#N/A,TRUE,"Proforma";"lease1",#N/A,TRUE,"Proforma";"lease2",#N/A,TRUE,"Proforma"}</definedName>
    <definedName name="______a1" hidden="1">{"Assump",#N/A,TRUE,"Proforma";"first",#N/A,TRUE,"Proforma";"second",#N/A,TRUE,"Proforma";"lease1",#N/A,TRUE,"Proforma";"lease2",#N/A,TRUE,"Proforma"}</definedName>
    <definedName name="______mg3" localSheetId="11" hidden="1">{"Main",#N/A,FALSE,"Wacker";"Main2",#N/A,FALSE,"Wacker";"Value",#N/A,FALSE,"Wacker";"Sensitivity",#N/A,FALSE,"Wacker";"Paine",#N/A,FALSE,"Wacker";"Quaker",#N/A,FALSE,"Wacker";"Wacker",#N/A,FALSE,"Wacker";"1900",#N/A,FALSE,"Wacker";"1901",#N/A,FALSE,"Wacker"}</definedName>
    <definedName name="______mg3" hidden="1">{"Main",#N/A,FALSE,"Wacker";"Main2",#N/A,FALSE,"Wacker";"Value",#N/A,FALSE,"Wacker";"Sensitivity",#N/A,FALSE,"Wacker";"Paine",#N/A,FALSE,"Wacker";"Quaker",#N/A,FALSE,"Wacker";"Wacker",#N/A,FALSE,"Wacker";"1900",#N/A,FALSE,"Wacker";"1901",#N/A,FALSE,"Wacker"}</definedName>
    <definedName name="_____a1" localSheetId="11" hidden="1">{"Assump",#N/A,TRUE,"Proforma";"first",#N/A,TRUE,"Proforma";"second",#N/A,TRUE,"Proforma";"lease1",#N/A,TRUE,"Proforma";"lease2",#N/A,TRUE,"Proforma"}</definedName>
    <definedName name="_____a1" hidden="1">{"Assump",#N/A,TRUE,"Proforma";"first",#N/A,TRUE,"Proforma";"second",#N/A,TRUE,"Proforma";"lease1",#N/A,TRUE,"Proforma";"lease2",#N/A,TRUE,"Proforma"}</definedName>
    <definedName name="_____al1" localSheetId="11" hidden="1">{"sheet a",#N/A,FALSE,"A";"sheet b 1",#N/A,FALSE,"B";"sheet b 2",#N/A,FALSE,"B"}</definedName>
    <definedName name="_____al1" hidden="1">{"sheet a",#N/A,FALSE,"A";"sheet b 1",#N/A,FALSE,"B";"sheet b 2",#N/A,FALSE,"B"}</definedName>
    <definedName name="_____mg3" localSheetId="11" hidden="1">{"Main",#N/A,FALSE,"Wacker";"Main2",#N/A,FALSE,"Wacker";"Value",#N/A,FALSE,"Wacker";"Sensitivity",#N/A,FALSE,"Wacker";"Paine",#N/A,FALSE,"Wacker";"Quaker",#N/A,FALSE,"Wacker";"Wacker",#N/A,FALSE,"Wacker";"1900",#N/A,FALSE,"Wacker";"1901",#N/A,FALSE,"Wacker"}</definedName>
    <definedName name="_____mg3" hidden="1">{"Main",#N/A,FALSE,"Wacker";"Main2",#N/A,FALSE,"Wacker";"Value",#N/A,FALSE,"Wacker";"Sensitivity",#N/A,FALSE,"Wacker";"Paine",#N/A,FALSE,"Wacker";"Quaker",#N/A,FALSE,"Wacker";"Wacker",#N/A,FALSE,"Wacker";"1900",#N/A,FALSE,"Wacker";"1901",#N/A,FALSE,"Wacker"}</definedName>
    <definedName name="____a1" localSheetId="11" hidden="1">{"Assump",#N/A,TRUE,"Proforma";"first",#N/A,TRUE,"Proforma";"second",#N/A,TRUE,"Proforma";"lease1",#N/A,TRUE,"Proforma";"lease2",#N/A,TRUE,"Proforma"}</definedName>
    <definedName name="____a1" hidden="1">{"Assump",#N/A,TRUE,"Proforma";"first",#N/A,TRUE,"Proforma";"second",#N/A,TRUE,"Proforma";"lease1",#N/A,TRUE,"Proforma";"lease2",#N/A,TRUE,"Proforma"}</definedName>
    <definedName name="____al1" localSheetId="11" hidden="1">{"sheet a",#N/A,FALSE,"A";"sheet b 1",#N/A,FALSE,"B";"sheet b 2",#N/A,FALSE,"B"}</definedName>
    <definedName name="____al1" hidden="1">{"sheet a",#N/A,FALSE,"A";"sheet b 1",#N/A,FALSE,"B";"sheet b 2",#N/A,FALSE,"B"}</definedName>
    <definedName name="____mg3" localSheetId="11" hidden="1">{"Main",#N/A,FALSE,"Wacker";"Main2",#N/A,FALSE,"Wacker";"Value",#N/A,FALSE,"Wacker";"Sensitivity",#N/A,FALSE,"Wacker";"Paine",#N/A,FALSE,"Wacker";"Quaker",#N/A,FALSE,"Wacker";"Wacker",#N/A,FALSE,"Wacker";"1900",#N/A,FALSE,"Wacker";"1901",#N/A,FALSE,"Wacker"}</definedName>
    <definedName name="____mg3" hidden="1">{"Main",#N/A,FALSE,"Wacker";"Main2",#N/A,FALSE,"Wacker";"Value",#N/A,FALSE,"Wacker";"Sensitivity",#N/A,FALSE,"Wacker";"Paine",#N/A,FALSE,"Wacker";"Quaker",#N/A,FALSE,"Wacker";"Wacker",#N/A,FALSE,"Wacker";"1900",#N/A,FALSE,"Wacker";"1901",#N/A,FALSE,"Wacker"}</definedName>
    <definedName name="___a1" localSheetId="11" hidden="1">{"Assump",#N/A,TRUE,"Proforma";"first",#N/A,TRUE,"Proforma";"second",#N/A,TRUE,"Proforma";"lease1",#N/A,TRUE,"Proforma";"lease2",#N/A,TRUE,"Proforma"}</definedName>
    <definedName name="___a1" hidden="1">{"Assump",#N/A,TRUE,"Proforma";"first",#N/A,TRUE,"Proforma";"second",#N/A,TRUE,"Proforma";"lease1",#N/A,TRUE,"Proforma";"lease2",#N/A,TRUE,"Proforma"}</definedName>
    <definedName name="___al1" localSheetId="11" hidden="1">{"sheet a",#N/A,FALSE,"A";"sheet b 1",#N/A,FALSE,"B";"sheet b 2",#N/A,FALSE,"B"}</definedName>
    <definedName name="___al1" hidden="1">{"sheet a",#N/A,FALSE,"A";"sheet b 1",#N/A,FALSE,"B";"sheet b 2",#N/A,FALSE,"B"}</definedName>
    <definedName name="___mg3" localSheetId="11" hidden="1">{"Main",#N/A,FALSE,"Wacker";"Main2",#N/A,FALSE,"Wacker";"Value",#N/A,FALSE,"Wacker";"Sensitivity",#N/A,FALSE,"Wacker";"Paine",#N/A,FALSE,"Wacker";"Quaker",#N/A,FALSE,"Wacker";"Wacker",#N/A,FALSE,"Wacker";"1900",#N/A,FALSE,"Wacker";"1901",#N/A,FALSE,"Wacker"}</definedName>
    <definedName name="___mg3" hidden="1">{"Main",#N/A,FALSE,"Wacker";"Main2",#N/A,FALSE,"Wacker";"Value",#N/A,FALSE,"Wacker";"Sensitivity",#N/A,FALSE,"Wacker";"Paine",#N/A,FALSE,"Wacker";"Quaker",#N/A,FALSE,"Wacker";"Wacker",#N/A,FALSE,"Wacker";"1900",#N/A,FALSE,"Wacker";"1901",#N/A,FALSE,"Wacker"}</definedName>
    <definedName name="___wrn2" localSheetId="11"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___wrn2"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___wrn3" localSheetId="11"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___wrn3"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a1" localSheetId="11" hidden="1">{"Assump",#N/A,TRUE,"Proforma";"first",#N/A,TRUE,"Proforma";"second",#N/A,TRUE,"Proforma";"lease1",#N/A,TRUE,"Proforma";"lease2",#N/A,TRUE,"Proforma"}</definedName>
    <definedName name="__a1" hidden="1">{"Assump",#N/A,TRUE,"Proforma";"first",#N/A,TRUE,"Proforma";"second",#N/A,TRUE,"Proforma";"lease1",#N/A,TRUE,"Proforma";"lease2",#N/A,TRUE,"Proforma"}</definedName>
    <definedName name="__al1" localSheetId="11" hidden="1">{"sheet a",#N/A,FALSE,"A";"sheet b 1",#N/A,FALSE,"B";"sheet b 2",#N/A,FALSE,"B"}</definedName>
    <definedName name="__al1" hidden="1">{"sheet a",#N/A,FALSE,"A";"sheet b 1",#N/A,FALSE,"B";"sheet b 2",#N/A,FALSE,"B"}</definedName>
    <definedName name="__FDS_HYPERLINK_TOGGLE_STATE__" hidden="1">"ON"</definedName>
    <definedName name="__IntlFixup" hidden="1">TRUE</definedName>
    <definedName name="__mg3" localSheetId="11" hidden="1">{"Main",#N/A,FALSE,"Wacker";"Main2",#N/A,FALSE,"Wacker";"Value",#N/A,FALSE,"Wacker";"Sensitivity",#N/A,FALSE,"Wacker";"Paine",#N/A,FALSE,"Wacker";"Quaker",#N/A,FALSE,"Wacker";"Wacker",#N/A,FALSE,"Wacker";"1900",#N/A,FALSE,"Wacker";"1901",#N/A,FALSE,"Wacker"}</definedName>
    <definedName name="__mg3" hidden="1">{"Main",#N/A,FALSE,"Wacker";"Main2",#N/A,FALSE,"Wacker";"Value",#N/A,FALSE,"Wacker";"Sensitivity",#N/A,FALSE,"Wacker";"Paine",#N/A,FALSE,"Wacker";"Quaker",#N/A,FALSE,"Wacker";"Wacker",#N/A,FALSE,"Wacker";"1900",#N/A,FALSE,"Wacker";"1901",#N/A,FALSE,"Wacker"}</definedName>
    <definedName name="__wrn1" localSheetId="11" hidden="1">{"schedule1",#N/A,FALSE,"Sheet1";"schedule2",#N/A,FALSE,"Sheet1";"schedule3",#N/A,FALSE,"Sheet1";"schedule4",#N/A,FALSE,"Sheet1";"schedule5",#N/A,FALSE,"Sheet1";"schedule6",#N/A,FALSE,"Sheet1"}</definedName>
    <definedName name="__wrn1" hidden="1">{"schedule1",#N/A,FALSE,"Sheet1";"schedule2",#N/A,FALSE,"Sheet1";"schedule3",#N/A,FALSE,"Sheet1";"schedule4",#N/A,FALSE,"Sheet1";"schedule5",#N/A,FALSE,"Sheet1";"schedule6",#N/A,FALSE,"Sheet1"}</definedName>
    <definedName name="__wrn2" localSheetId="11"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__wrn2"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__wrn3" localSheetId="11"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__wrn3"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_1__123Graph_ACHART_1" hidden="1">#REF!</definedName>
    <definedName name="_10__123Graph_CCHART_3" hidden="1">#REF!</definedName>
    <definedName name="_108__123Graph_BCHART_22" hidden="1">#REF!</definedName>
    <definedName name="_11__123Graph_ACHART_3" hidden="1">#REF!</definedName>
    <definedName name="_11__123Graph_DCHART_1" hidden="1">#REF!</definedName>
    <definedName name="_117__123Graph_CCHART_15" hidden="1">#REF!</definedName>
    <definedName name="_12__123Graph_ACHART_4" hidden="1">#REF!</definedName>
    <definedName name="_12__123Graph_ECHART_1" hidden="1">#REF!</definedName>
    <definedName name="_126__123Graph_CCHART_16" hidden="1">#REF!</definedName>
    <definedName name="_13__123Graph_BCHART_1" hidden="1">#REF!</definedName>
    <definedName name="_13__123Graph_FCHART_1" hidden="1">#REF!</definedName>
    <definedName name="_135__123Graph_CCHART_17" hidden="1">#REF!</definedName>
    <definedName name="_14__123Graph_BCHART_2" hidden="1">#REF!</definedName>
    <definedName name="_14__123Graph_LBL_ACHART_2" hidden="1">#REF!</definedName>
    <definedName name="_144__123Graph_CCHART_22" hidden="1">#REF!</definedName>
    <definedName name="_15__123Graph_LBL_ACHART_3" hidden="1">#REF!</definedName>
    <definedName name="_153__123Graph_CSEG_PIE" hidden="1">#REF!</definedName>
    <definedName name="_16__123Graph_ACHART_3" hidden="1">#REF!</definedName>
    <definedName name="_16__123Graph_LBL_ACHART_4" hidden="1">#REF!</definedName>
    <definedName name="_162__123Graph_DCHART_15" hidden="1">#REF!</definedName>
    <definedName name="_17__123Graph_ACHART_4" hidden="1">#REF!</definedName>
    <definedName name="_17__123Graph_LBL_BCHART_2" hidden="1">#REF!</definedName>
    <definedName name="_171__123Graph_DCHART_16" hidden="1">#REF!</definedName>
    <definedName name="_18__123Graph_ACHART_15" hidden="1">#REF!</definedName>
    <definedName name="_18__123Graph_BCHART_1" hidden="1">#REF!</definedName>
    <definedName name="_18__123Graph_LBL_BCHART_3" hidden="1">#REF!</definedName>
    <definedName name="_180__123Graph_DCHART_17" hidden="1">#REF!</definedName>
    <definedName name="_189__123Graph_DCHART_22" hidden="1">#REF!</definedName>
    <definedName name="_19__123Graph_BCHART_2" hidden="1">#REF!</definedName>
    <definedName name="_19__123Graph_LBL_CCHART_2" hidden="1">#REF!</definedName>
    <definedName name="_198__123Graph_ECHART_15" hidden="1">#REF!</definedName>
    <definedName name="_2__123Graph_ACHART_2" hidden="1">#REF!</definedName>
    <definedName name="_20__123Graph_LBL_CCHART_3" hidden="1">#REF!</definedName>
    <definedName name="_207__123Graph_ECHART_16" hidden="1">#REF!</definedName>
    <definedName name="_21_0_S" hidden="1">#REF!</definedName>
    <definedName name="_216__123Graph_ECHART_17" hidden="1">#REF!</definedName>
    <definedName name="_22_0_S" hidden="1">#REF!</definedName>
    <definedName name="_225__123Graph_ECHART_22" hidden="1">#REF!</definedName>
    <definedName name="_23__123Graph_BCHART_3" hidden="1">#REF!</definedName>
    <definedName name="_234__123Graph_FCHART_15" hidden="1">#REF!</definedName>
    <definedName name="_24__123Graph_CCHART_1" hidden="1">#REF!</definedName>
    <definedName name="_243__123Graph_FCHART_16" hidden="1">#REF!</definedName>
    <definedName name="_25__123Graph_CCHART_2" hidden="1">#REF!</definedName>
    <definedName name="_252__123Graph_FCHART_17" hidden="1">#REF!</definedName>
    <definedName name="_26__123Graph_BCHART_3" hidden="1">#REF!</definedName>
    <definedName name="_261__123Graph_FCHART_22" hidden="1">#REF!</definedName>
    <definedName name="_27__123Graph_ACHART_16" hidden="1">#REF!</definedName>
    <definedName name="_27__123Graph_CCHART_1" hidden="1">#REF!</definedName>
    <definedName name="_270__123Graph_XCHART_15" hidden="1">#REF!</definedName>
    <definedName name="_279__123Graph_XCHART_16" hidden="1">#REF!</definedName>
    <definedName name="_28__123Graph_CCHART_2" hidden="1">#REF!</definedName>
    <definedName name="_288__123Graph_XCHART_17" hidden="1">#REF!</definedName>
    <definedName name="_297__123Graph_XCHART_18" hidden="1">#REF!</definedName>
    <definedName name="_3__123Graph_ACHART_3" hidden="1">#REF!</definedName>
    <definedName name="_3__123Graph_BCHART_1" hidden="1">#REF!</definedName>
    <definedName name="_306__123Graph_XCHART_19" hidden="1">#REF!</definedName>
    <definedName name="_315__123Graph_XCHART_22" hidden="1">#REF!</definedName>
    <definedName name="_324__123Graph_XSEG_PIE" hidden="1">#REF!</definedName>
    <definedName name="_34__123Graph_CCHART_3" hidden="1">#REF!</definedName>
    <definedName name="_35__123Graph_CCHART_3" hidden="1">#REF!</definedName>
    <definedName name="_35__123Graph_DCHART_1" hidden="1">#REF!</definedName>
    <definedName name="_36__123Graph_ACHART_17" hidden="1">#REF!</definedName>
    <definedName name="_36__123Graph_DCHART_1" hidden="1">#REF!</definedName>
    <definedName name="_36__123Graph_ECHART_1" hidden="1">#REF!</definedName>
    <definedName name="_37__123Graph_ECHART_1" hidden="1">#REF!</definedName>
    <definedName name="_37__123Graph_FCHART_1" hidden="1">#REF!</definedName>
    <definedName name="_38__123Graph_FCHART_1" hidden="1">#REF!</definedName>
    <definedName name="_38__123Graph_LBL_ACHART_2" hidden="1">#REF!</definedName>
    <definedName name="_39__123Graph_LBL_ACHART_2" hidden="1">#REF!</definedName>
    <definedName name="_4__123Graph_ACHART_4" hidden="1">#REF!</definedName>
    <definedName name="_4__123Graph_XCHART_1" hidden="1">#REF!</definedName>
    <definedName name="_45__123Graph_ACHART_18" hidden="1">#REF!</definedName>
    <definedName name="_46__123Graph_LBL_ACHART_3" hidden="1">#REF!</definedName>
    <definedName name="_47__123Graph_LBL_ACHART_3" hidden="1">#REF!</definedName>
    <definedName name="_47__123Graph_LBL_ACHART_4" hidden="1">#REF!</definedName>
    <definedName name="_48__123Graph_LBL_ACHART_4" hidden="1">#REF!</definedName>
    <definedName name="_48__123Graph_LBL_BCHART_2" hidden="1">#REF!</definedName>
    <definedName name="_49__123Graph_LBL_BCHART_2" hidden="1">#REF!</definedName>
    <definedName name="_5__123Graph_BCHART_1" hidden="1">#REF!</definedName>
    <definedName name="_5__123Graph_XCHART_2" hidden="1">#REF!</definedName>
    <definedName name="_54__123Graph_ACHART_19" hidden="1">#REF!</definedName>
    <definedName name="_55__123Graph_LBL_BCHART_3" hidden="1">#REF!</definedName>
    <definedName name="_56__123Graph_LBL_CCHART_2" hidden="1">#REF!</definedName>
    <definedName name="_58__123Graph_LBL_BCHART_3" hidden="1">#REF!</definedName>
    <definedName name="_59__123Graph_LBL_CCHART_2" hidden="1">#REF!</definedName>
    <definedName name="_6__123Graph_BCHART_2" hidden="1">#REF!</definedName>
    <definedName name="_63__123Graph_ACHART_21" hidden="1">#REF!</definedName>
    <definedName name="_63__123Graph_LBL_CCHART_3" hidden="1">#REF!</definedName>
    <definedName name="_68__123Graph_LBL_CCHART_3" hidden="1">#REF!</definedName>
    <definedName name="_7__123Graph_BCHART_3" hidden="1">#REF!</definedName>
    <definedName name="_70_0_S" hidden="1">#REF!</definedName>
    <definedName name="_72__123Graph_ASEG_PIE" hidden="1">#REF!</definedName>
    <definedName name="_77_0_S" hidden="1">#REF!</definedName>
    <definedName name="_8__123Graph_ACHART_1" hidden="1">#REF!</definedName>
    <definedName name="_8__123Graph_CCHART_1" hidden="1">#REF!</definedName>
    <definedName name="_81__123Graph_BCHART_15" hidden="1">#REF!</definedName>
    <definedName name="_9__123Graph_ACHART_12" hidden="1">#REF!</definedName>
    <definedName name="_9__123Graph_ACHART_2" hidden="1">#REF!</definedName>
    <definedName name="_9__123Graph_CCHART_2" hidden="1">#REF!</definedName>
    <definedName name="_90__123Graph_BCHART_16" hidden="1">#REF!</definedName>
    <definedName name="_99__123Graph_BCHART_17" hidden="1">#REF!</definedName>
    <definedName name="_a1" localSheetId="11" hidden="1">{"Assump",#N/A,TRUE,"Proforma";"first",#N/A,TRUE,"Proforma";"second",#N/A,TRUE,"Proforma";"lease1",#N/A,TRUE,"Proforma";"lease2",#N/A,TRUE,"Proforma"}</definedName>
    <definedName name="_a1" hidden="1">{"Assump",#N/A,TRUE,"Proforma";"first",#N/A,TRUE,"Proforma";"second",#N/A,TRUE,"Proforma";"lease1",#N/A,TRUE,"Proforma";"lease2",#N/A,TRUE,"Proforma"}</definedName>
    <definedName name="_a2" localSheetId="11" hidden="1">{"sheet a",#N/A,FALSE,"A";"2 9 casflow",#N/A,FALSE,"B"}</definedName>
    <definedName name="_a2" hidden="1">{"sheet a",#N/A,FALSE,"A";"2 9 casflow",#N/A,FALSE,"B"}</definedName>
    <definedName name="_al1" localSheetId="11" hidden="1">{"sheet a",#N/A,FALSE,"A";"sheet b 1",#N/A,FALSE,"B";"sheet b 2",#N/A,FALSE,"B"}</definedName>
    <definedName name="_al1" hidden="1">{"sheet a",#N/A,FALSE,"A";"sheet b 1",#N/A,FALSE,"B";"sheet b 2",#N/A,FALSE,"B"}</definedName>
    <definedName name="_bdm.ToolkitBookmark.1_24_2004_11_15_31_PM.edm" hidden="1">#REF!</definedName>
    <definedName name="_bdm.ToolkitBookmark.1_24_2004_8_24_02_PM.edm" hidden="1">#REF!</definedName>
    <definedName name="_bdm.ToolkitBookmark.1_24_2004_8_54_41_PM.edm" hidden="1">#REF!</definedName>
    <definedName name="_bdm.ToolkitBookmark.1_25_2004_9_47_15_PM.edm" hidden="1">#REF!</definedName>
    <definedName name="_bdm.ToolkitBookmark.1_25_2004_9_47_23_PM.edm" hidden="1">#REF!</definedName>
    <definedName name="_bdm.ToolkitBookmark.1_25_2004_9_48_01_PM.edm" hidden="1">#REF!</definedName>
    <definedName name="_COO2" localSheetId="11" hidden="1">{#N/A,#N/A,FALSE,"Matrix";#N/A,#N/A,FALSE,"Cash Flow";#N/A,#N/A,FALSE,"10 Year Cost Analysis"}</definedName>
    <definedName name="_COO2" hidden="1">{#N/A,#N/A,FALSE,"Matrix";#N/A,#N/A,FALSE,"Cash Flow";#N/A,#N/A,FALSE,"10 Year Cost Analysis"}</definedName>
    <definedName name="_dfadfasd" localSheetId="11" hidden="1">{"cap_structure",#N/A,FALSE,"Graph-Mkt Cap";"price",#N/A,FALSE,"Graph-Price";"ebit",#N/A,FALSE,"Graph-EBITDA";"ebitda",#N/A,FALSE,"Graph-EBITDA"}</definedName>
    <definedName name="_dfadfasd" hidden="1">{"cap_structure",#N/A,FALSE,"Graph-Mkt Cap";"price",#N/A,FALSE,"Graph-Price";"ebit",#N/A,FALSE,"Graph-EBITDA";"ebitda",#N/A,FALSE,"Graph-EBITDA"}</definedName>
    <definedName name="_Fill" hidden="1">#REF!</definedName>
    <definedName name="_xlnm._FilterDatabase" localSheetId="3" hidden="1">'Cash Flows &amp; Summary'!$X$21:$AE$43</definedName>
    <definedName name="_xlnm._FilterDatabase" localSheetId="0" hidden="1">'Cash Flows &amp; Summary'!$X$22:$AE$44</definedName>
    <definedName name="_Key1" hidden="1">#REF!</definedName>
    <definedName name="_Key2" hidden="1">#REF!</definedName>
    <definedName name="_mg3" localSheetId="11" hidden="1">{"Main",#N/A,FALSE,"Wacker";"Main2",#N/A,FALSE,"Wacker";"Value",#N/A,FALSE,"Wacker";"Sensitivity",#N/A,FALSE,"Wacker";"Paine",#N/A,FALSE,"Wacker";"Quaker",#N/A,FALSE,"Wacker";"Wacker",#N/A,FALSE,"Wacker";"1900",#N/A,FALSE,"Wacker";"1901",#N/A,FALSE,"Wacker"}</definedName>
    <definedName name="_mg3" hidden="1">{"Main",#N/A,FALSE,"Wacker";"Main2",#N/A,FALSE,"Wacker";"Value",#N/A,FALSE,"Wacker";"Sensitivity",#N/A,FALSE,"Wacker";"Paine",#N/A,FALSE,"Wacker";"Quaker",#N/A,FALSE,"Wacker";"Wacker",#N/A,FALSE,"Wacker";"1900",#N/A,FALSE,"Wacker";"1901",#N/A,FALSE,"Wacker"}</definedName>
    <definedName name="_OLD2" hidden="1">#REF!</definedName>
    <definedName name="_Order1" hidden="1">255</definedName>
    <definedName name="_Order2" hidden="1">255</definedName>
    <definedName name="_Sort"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able3_In3" hidden="1">#REF!</definedName>
    <definedName name="_wrn2" localSheetId="11"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_wrn2"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_wrn3" localSheetId="11"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_wrn3"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a"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a"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a1a1" localSheetId="11" hidden="1">{"Assump",#N/A,TRUE,"Proforma";"first",#N/A,TRUE,"Proforma";"second",#N/A,TRUE,"Proforma";"lease1",#N/A,TRUE,"Proforma";"lease2",#N/A,TRUE,"Proforma"}</definedName>
    <definedName name="a1a1" hidden="1">{"Assump",#N/A,TRUE,"Proforma";"first",#N/A,TRUE,"Proforma";"second",#N/A,TRUE,"Proforma";"lease1",#N/A,TRUE,"Proforma";"lease2",#N/A,TRUE,"Proforma"}</definedName>
    <definedName name="aa" localSheetId="11" hidden="1">{"AnnualRentRoll",#N/A,FALSE,"RentRoll"}</definedName>
    <definedName name="aa" hidden="1">{"AnnualRentRoll",#N/A,FALSE,"RentRoll"}</definedName>
    <definedName name="aa.2" localSheetId="11" hidden="1">{#N/A,#N/A,FALSE,"Cashflow Analysis";#N/A,#N/A,FALSE,"Sensitivity Analysis";#N/A,#N/A,FALSE,"PV";#N/A,#N/A,FALSE,"Pro Forma"}</definedName>
    <definedName name="aa.2" hidden="1">{#N/A,#N/A,FALSE,"Cashflow Analysis";#N/A,#N/A,FALSE,"Sensitivity Analysis";#N/A,#N/A,FALSE,"PV";#N/A,#N/A,FALSE,"Pro Forma"}</definedName>
    <definedName name="aaa" localSheetId="11" hidden="1">{"AnnualRentRoll",#N/A,FALSE,"RentRoll"}</definedName>
    <definedName name="aaa" hidden="1">{"AnnualRentRoll",#N/A,FALSE,"RentRoll"}</definedName>
    <definedName name="AAA_DOCTOPS" hidden="1">"AAA_SET"</definedName>
    <definedName name="AAA_duser" hidden="1">"OFF"</definedName>
    <definedName name="aaaaa" localSheetId="11" hidden="1">{"Assump",#N/A,TRUE,"Proforma";"first",#N/A,TRUE,"Proforma";"second",#N/A,TRUE,"Proforma";"lease1",#N/A,TRUE,"Proforma";"lease2",#N/A,TRUE,"Proforma"}</definedName>
    <definedName name="aaaaa" hidden="1">{"Assump",#N/A,TRUE,"Proforma";"first",#N/A,TRUE,"Proforma";"second",#N/A,TRUE,"Proforma";"lease1",#N/A,TRUE,"Proforma";"lease2",#N/A,TRUE,"Proforma"}</definedName>
    <definedName name="aaaaaaa" localSheetId="11" hidden="1">{"Outflow 1",#N/A,FALSE,"Outflows-Inflows";"Outflow 2",#N/A,FALSE,"Outflows-Inflows";"Inflow 1",#N/A,FALSE,"Outflows-Inflows";"Inflow 2",#N/A,FALSE,"Outflows-Inflows"}</definedName>
    <definedName name="aaaaaaa" hidden="1">{"Outflow 1",#N/A,FALSE,"Outflows-Inflows";"Outflow 2",#N/A,FALSE,"Outflows-Inflows";"Inflow 1",#N/A,FALSE,"Outflows-Inflows";"Inflow 2",#N/A,FALSE,"Outflows-Inflows"}</definedName>
    <definedName name="AAAAAAAA" localSheetId="11" hidden="1">{"Outflow 1",#N/A,FALSE,"Outflows-Inflows";"Outflow 2",#N/A,FALSE,"Outflows-Inflows";"Inflow 1",#N/A,FALSE,"Outflows-Inflows";"Inflow 2",#N/A,FALSE,"Outflows-Inflows"}</definedName>
    <definedName name="AAAAAAAA" hidden="1">{"Outflow 1",#N/A,FALSE,"Outflows-Inflows";"Outflow 2",#N/A,FALSE,"Outflows-Inflows";"Inflow 1",#N/A,FALSE,"Outflows-Inflows";"Inflow 2",#N/A,FALSE,"Outflows-Inflows"}</definedName>
    <definedName name="AAB_Addin5" hidden="1">"AAB_Description for addin 5,Description for addin 5,Description for addin 5,Description for addin 5,Description for addin 5,Description for addin 5"</definedName>
    <definedName name="aasdfa" localSheetId="11" hidden="1">{"rtn",#N/A,FALSE,"RTN";"tables",#N/A,FALSE,"RTN";"cf",#N/A,FALSE,"CF";"stats",#N/A,FALSE,"Stats";"prop",#N/A,FALSE,"Prop"}</definedName>
    <definedName name="aasdfa" hidden="1">{"rtn",#N/A,FALSE,"RTN";"tables",#N/A,FALSE,"RTN";"cf",#N/A,FALSE,"CF";"stats",#N/A,FALSE,"Stats";"prop",#N/A,FALSE,"Prop"}</definedName>
    <definedName name="ab" hidden="1">#REF!</definedName>
    <definedName name="Absconst">#REF!</definedName>
    <definedName name="Absorption32">#REF!</definedName>
    <definedName name="Absorptionconst">#REF!</definedName>
    <definedName name="Access_Button" hidden="1">"Loan_Front_End_Input_List"</definedName>
    <definedName name="AccessDatabase" hidden="1">"C:\My Documents\DAVE\MODELS\Cash at Risk\Loan Front End.mdb"</definedName>
    <definedName name="ACCRUAL">[1]Summary!$E$45</definedName>
    <definedName name="ACQLOANAMOUNT">[1]Summary!$E$3</definedName>
    <definedName name="ACQLOANLTV">[1]Summary!$E$4</definedName>
    <definedName name="ACQLOANRATE">[1]Summary!$E$7</definedName>
    <definedName name="ACQLOANTERM">[1]Summary!$E$11</definedName>
    <definedName name="ad"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ad"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adfa" localSheetId="11" hidden="1">{"cap_structure",#N/A,FALSE,"Graph-Mkt Cap";"price",#N/A,FALSE,"Graph-Price";"ebit",#N/A,FALSE,"Graph-EBITDA";"ebitda",#N/A,FALSE,"Graph-EBITDA"}</definedName>
    <definedName name="adfa" hidden="1">{"cap_structure",#N/A,FALSE,"Graph-Mkt Cap";"price",#N/A,FALSE,"Graph-Price";"ebit",#N/A,FALSE,"Graph-EBITDA";"ebitda",#N/A,FALSE,"Graph-EBITDA"}</definedName>
    <definedName name="adfgga" localSheetId="11" hidden="1">{"FCB_ALL",#N/A,FALSE,"FCB"}</definedName>
    <definedName name="adfgga" hidden="1">{"FCB_ALL",#N/A,FALSE,"FCB"}</definedName>
    <definedName name="adfghsdfgas" localSheetId="11" hidden="1">{"inputs raw data",#N/A,TRUE,"INPUT"}</definedName>
    <definedName name="adfghsdfgas" hidden="1">{"inputs raw data",#N/A,TRUE,"INPUT"}</definedName>
    <definedName name="ADFWAE" localSheetId="11" hidden="1">{"summary1",#N/A,TRUE,"Comps";"summary2",#N/A,TRUE,"Comps";"summary3",#N/A,TRUE,"Comps"}</definedName>
    <definedName name="ADFWAE" hidden="1">{"summary1",#N/A,TRUE,"Comps";"summary2",#N/A,TRUE,"Comps";"summary3",#N/A,TRUE,"Comps"}</definedName>
    <definedName name="adgad"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dga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ds" localSheetId="11" hidden="1">{"inputs raw data",#N/A,TRUE,"INPUT"}</definedName>
    <definedName name="ads" hidden="1">{"inputs raw data",#N/A,TRUE,"INPUT"}</definedName>
    <definedName name="ADSFA" localSheetId="11" hidden="1">{"inputs raw data",#N/A,TRUE,"INPUT"}</definedName>
    <definedName name="ADSFA" hidden="1">{"inputs raw data",#N/A,TRUE,"INPUT"}</definedName>
    <definedName name="AEWEW" localSheetId="11" hidden="1">{"inputs raw data",#N/A,TRUE,"INPUT"}</definedName>
    <definedName name="AEWEW" hidden="1">{"inputs raw data",#N/A,TRUE,"INPUT"}</definedName>
    <definedName name="Al" localSheetId="11" hidden="1">{"sheet a",#N/A,FALSE,"A";"2 9 casflow",#N/A,FALSE,"B"}</definedName>
    <definedName name="Al" hidden="1">{"sheet a",#N/A,FALSE,"A";"2 9 casflow",#N/A,FALSE,"B"}</definedName>
    <definedName name="all" localSheetId="11" hidden="1">{#N/A,#N/A,FALSE,"CF Consolidated 2";#N/A,#N/A,FALSE,"Retail Assump";#N/A,#N/A,FALSE,"CF Retail";#N/A,#N/A,FALSE,"Garage Assumpt 1";#N/A,#N/A,FALSE,"Garage Op Proj";#N/A,#N/A,FALSE,"Hist I&amp;E";#N/A,#N/A,FALSE,"Rent Roll";#N/A,#N/A,FALSE,"RE Taxes";#N/A,#N/A,FALSE,"CAM - BH";#N/A,#N/A,FALSE,"Comm.Condo CAM"}</definedName>
    <definedName name="all" hidden="1">{#N/A,#N/A,FALSE,"CF Consolidated 2";#N/A,#N/A,FALSE,"Retail Assump";#N/A,#N/A,FALSE,"CF Retail";#N/A,#N/A,FALSE,"Garage Assumpt 1";#N/A,#N/A,FALSE,"Garage Op Proj";#N/A,#N/A,FALSE,"Hist I&amp;E";#N/A,#N/A,FALSE,"Rent Roll";#N/A,#N/A,FALSE,"RE Taxes";#N/A,#N/A,FALSE,"CAM - BH";#N/A,#N/A,FALSE,"Comm.Condo CAM"}</definedName>
    <definedName name="AMO" localSheetId="11" hidden="1">{"CF",#N/A,FALSE,"Cash Flow";"RET",#N/A,FALSE,"Returns";"NPV",#N/A,FALSE,"Values";"ASMPT",#N/A,FALSE,"Assumptions"}</definedName>
    <definedName name="AMO" hidden="1">{"CF",#N/A,FALSE,"Cash Flow";"RET",#N/A,FALSE,"Returns";"NPV",#N/A,FALSE,"Values";"ASMPT",#N/A,FALSE,"Assumptions"}</definedName>
    <definedName name="AMORT">#REF!</definedName>
    <definedName name="anscount" hidden="1">1</definedName>
    <definedName name="arew" localSheetId="11" hidden="1">{"cap_structure",#N/A,FALSE,"Graph-Mkt Cap";"price",#N/A,FALSE,"Graph-Price";"ebit",#N/A,FALSE,"Graph-EBITDA";"ebitda",#N/A,FALSE,"Graph-EBITDA"}</definedName>
    <definedName name="arew" hidden="1">{"cap_structure",#N/A,FALSE,"Graph-Mkt Cap";"price",#N/A,FALSE,"Graph-Price";"ebit",#N/A,FALSE,"Graph-EBITDA";"ebitda",#N/A,FALSE,"Graph-EBITDA"}</definedName>
    <definedName name="arg" localSheetId="11" hidden="1">{"inputs raw data",#N/A,TRUE,"INPUT"}</definedName>
    <definedName name="arg" hidden="1">{"inputs raw data",#N/A,TRUE,"INPUT"}</definedName>
    <definedName name="as" localSheetId="11" hidden="1">{"Outflow 1",#N/A,FALSE,"Outflows-Inflows";"Outflow 2",#N/A,FALSE,"Outflows-Inflows";"Inflow 1",#N/A,FALSE,"Outflows-Inflows";"Inflow 2",#N/A,FALSE,"Outflows-Inflows"}</definedName>
    <definedName name="as" hidden="1">{"Outflow 1",#N/A,FALSE,"Outflows-Inflows";"Outflow 2",#N/A,FALSE,"Outflows-Inflows";"Inflow 1",#N/A,FALSE,"Outflows-Inflows";"Inflow 2",#N/A,FALSE,"Outflows-Inflows"}</definedName>
    <definedName name="asdf2" localSheetId="11" hidden="1">{#N/A,#N/A,FALSE,"OperatingAssumptions"}</definedName>
    <definedName name="asdf2" hidden="1">{#N/A,#N/A,FALSE,"OperatingAssumptions"}</definedName>
    <definedName name="asdf3" localSheetId="11" hidden="1">{#N/A,#N/A,FALSE,"LoanAssumptions"}</definedName>
    <definedName name="asdf3" hidden="1">{#N/A,#N/A,FALSE,"LoanAssumptions"}</definedName>
    <definedName name="asdf5" localSheetId="11" hidden="1">{"MonthlyRentRoll",#N/A,FALSE,"RentRoll"}</definedName>
    <definedName name="asdf5" hidden="1">{"MonthlyRentRoll",#N/A,FALSE,"RentRoll"}</definedName>
    <definedName name="asdf7" localSheetId="11" hidden="1">{#N/A,#N/A,TRUE,"Summary";"AnnualRentRoll",#N/A,TRUE,"RentRoll";#N/A,#N/A,TRUE,"ExitStratigy";#N/A,#N/A,TRUE,"OperatingAssumptions"}</definedName>
    <definedName name="asdf7" hidden="1">{#N/A,#N/A,TRUE,"Summary";"AnnualRentRoll",#N/A,TRUE,"RentRoll";#N/A,#N/A,TRUE,"ExitStratigy";#N/A,#N/A,TRUE,"OperatingAssumptions"}</definedName>
    <definedName name="asdfas" localSheetId="11" hidden="1">{"print 1.6",#N/A,FALSE,"Sheet1";"print 2.6",#N/A,FALSE,"Sheet1";"print 3.6",#N/A,FALSE,"Sheet1";"print 4.6",#N/A,FALSE,"Sheet1";"print 5.6",#N/A,FALSE,"Sheet1";"print 6.6",#N/A,FALSE,"Sheet1"}</definedName>
    <definedName name="asdfas" hidden="1">{"print 1.6",#N/A,FALSE,"Sheet1";"print 2.6",#N/A,FALSE,"Sheet1";"print 3.6",#N/A,FALSE,"Sheet1";"print 4.6",#N/A,FALSE,"Sheet1";"print 5.6",#N/A,FALSE,"Sheet1";"print 6.6",#N/A,FALSE,"Sheet1"}</definedName>
    <definedName name="asdfasaa" localSheetId="11" hidden="1">{"print 1.6",#N/A,FALSE,"Sheet1";"print 2.6",#N/A,FALSE,"Sheet1";"print 3.6",#N/A,FALSE,"Sheet1";"print 4.6",#N/A,FALSE,"Sheet1";"print 5.6",#N/A,FALSE,"Sheet1";"print 6.6",#N/A,FALSE,"Sheet1"}</definedName>
    <definedName name="asdfasaa" hidden="1">{"print 1.6",#N/A,FALSE,"Sheet1";"print 2.6",#N/A,FALSE,"Sheet1";"print 3.6",#N/A,FALSE,"Sheet1";"print 4.6",#N/A,FALSE,"Sheet1";"print 5.6",#N/A,FALSE,"Sheet1";"print 6.6",#N/A,FALSE,"Sheet1"}</definedName>
    <definedName name="asdfasd" localSheetId="11" hidden="1">{"cap_structure",#N/A,FALSE,"Graph-Mkt Cap";"price",#N/A,FALSE,"Graph-Price";"ebit",#N/A,FALSE,"Graph-EBITDA";"ebitda",#N/A,FALSE,"Graph-EBITDA"}</definedName>
    <definedName name="asdfasd" hidden="1">{"cap_structure",#N/A,FALSE,"Graph-Mkt Cap";"price",#N/A,FALSE,"Graph-Price";"ebit",#N/A,FALSE,"Graph-EBITDA";"ebitda",#N/A,FALSE,"Graph-EBITDA"}</definedName>
    <definedName name="asdfasdf" localSheetId="11" hidden="1">{"rtn",#N/A,FALSE,"RTN";"tables",#N/A,FALSE,"RTN";"cf",#N/A,FALSE,"CF";"stats",#N/A,FALSE,"Stats";"prop",#N/A,FALSE,"Prop"}</definedName>
    <definedName name="asdfasdf" hidden="1">{"rtn",#N/A,FALSE,"RTN";"tables",#N/A,FALSE,"RTN";"cf",#N/A,FALSE,"CF";"stats",#N/A,FALSE,"Stats";"prop",#N/A,FALSE,"Prop"}</definedName>
    <definedName name="asdfasdfasd" localSheetId="11" hidden="1">{"summary1",#N/A,TRUE,"Comps";"summary2",#N/A,TRUE,"Comps";"summary3",#N/A,TRUE,"Comps"}</definedName>
    <definedName name="asdfasdfasd" hidden="1">{"summary1",#N/A,TRUE,"Comps";"summary2",#N/A,TRUE,"Comps";"summary3",#N/A,TRUE,"Comps"}</definedName>
    <definedName name="asdfasdfasdfa" localSheetId="11" hidden="1">binary</definedName>
    <definedName name="asdfasdfasdfa" hidden="1">binary</definedName>
    <definedName name="asdfasfsa" localSheetId="11" hidden="1">binary</definedName>
    <definedName name="asdfasfsa" hidden="1">binary</definedName>
    <definedName name="asdfg" localSheetId="11" hidden="1">{"rtn",#N/A,FALSE,"RTN";"tables",#N/A,FALSE,"RTN";"cf",#N/A,FALSE,"CF";"stats",#N/A,FALSE,"Stats";"prop",#N/A,FALSE,"Prop"}</definedName>
    <definedName name="asdfg" hidden="1">{"rtn",#N/A,FALSE,"RTN";"tables",#N/A,FALSE,"RTN";"cf",#N/A,FALSE,"CF";"stats",#N/A,FALSE,"Stats";"prop",#N/A,FALSE,"Prop"}</definedName>
    <definedName name="asdfsd" localSheetId="11" hidden="1">binary</definedName>
    <definedName name="asdfsd" hidden="1">binary</definedName>
    <definedName name="asf" localSheetId="11" hidden="1">binary</definedName>
    <definedName name="asf" hidden="1">binary</definedName>
    <definedName name="asfdgsdfg" localSheetId="11" hidden="1">{"inputs raw data",#N/A,TRUE,"INPUT"}</definedName>
    <definedName name="asfdgsdfg" hidden="1">{"inputs raw data",#N/A,TRUE,"INPUT"}</definedName>
    <definedName name="asfsaf" localSheetId="11" hidden="1">binary</definedName>
    <definedName name="asfsaf" hidden="1">binary</definedName>
    <definedName name="ashish" localSheetId="11" hidden="1">{"'Assump'!$F$6:$J$6"}</definedName>
    <definedName name="ashish" hidden="1">{"'Assump'!$F$6:$J$6"}</definedName>
    <definedName name="ass" localSheetId="11" hidden="1">{"print 1.6",#N/A,FALSE,"Sheet1";"print 2.6",#N/A,FALSE,"Sheet1";"print 3.6",#N/A,FALSE,"Sheet1";"print 4.6",#N/A,FALSE,"Sheet1";"print 5.6",#N/A,FALSE,"Sheet1";"print 6.6",#N/A,FALSE,"Sheet1"}</definedName>
    <definedName name="ass" hidden="1">{"print 1.6",#N/A,FALSE,"Sheet1";"print 2.6",#N/A,FALSE,"Sheet1";"print 3.6",#N/A,FALSE,"Sheet1";"print 4.6",#N/A,FALSE,"Sheet1";"print 5.6",#N/A,FALSE,"Sheet1";"print 6.6",#N/A,FALSE,"Sheet1"}</definedName>
    <definedName name="asss" localSheetId="11" hidden="1">{"rtn",#N/A,FALSE,"RTN";"tables",#N/A,FALSE,"RTN";"cf",#N/A,FALSE,"CF";"stats",#N/A,FALSE,"Stats";"prop",#N/A,FALSE,"Prop"}</definedName>
    <definedName name="asss" hidden="1">{"rtn",#N/A,FALSE,"RTN";"tables",#N/A,FALSE,"RTN";"cf",#N/A,FALSE,"CF";"stats",#N/A,FALSE,"Stats";"prop",#N/A,FALSE,"Prop"}</definedName>
    <definedName name="avgsqft">#REF!</definedName>
    <definedName name="avgunitsize">#REF!</definedName>
    <definedName name="b" localSheetId="11" hidden="1">{"Assump",#N/A,TRUE,"Proforma";"first",#N/A,TRUE,"Proforma";"second",#N/A,TRUE,"Proforma";"lease1",#N/A,TRUE,"Proforma";"lease2",#N/A,TRUE,"Proforma"}</definedName>
    <definedName name="b" hidden="1">{"Assump",#N/A,TRUE,"Proforma";"first",#N/A,TRUE,"Proforma";"second",#N/A,TRUE,"Proforma";"lease1",#N/A,TRUE,"Proforma";"lease2",#N/A,TRUE,"Proforma"}</definedName>
    <definedName name="BadLink" hidden="1">#REF!</definedName>
    <definedName name="bb" localSheetId="11" hidden="1">{#N/A,#N/A,FALSE,"ExitStratigy"}</definedName>
    <definedName name="bb" hidden="1">{#N/A,#N/A,FALSE,"ExitStratigy"}</definedName>
    <definedName name="bbb" localSheetId="11" hidden="1">{#N/A,#N/A,FALSE,"ExitStratigy"}</definedName>
    <definedName name="bbb" hidden="1">{#N/A,#N/A,FALSE,"ExitStratigy"}</definedName>
    <definedName name="Beg_Bal">#REF!</definedName>
    <definedName name="BLPH1" hidden="1">#REF!</definedName>
    <definedName name="BLPH10" hidden="1">#REF!</definedName>
    <definedName name="BLPH11"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 hidden="1">#REF!</definedName>
    <definedName name="BONDINT">#REF!</definedName>
    <definedName name="BudgetSumm" localSheetId="11" hidden="1">{#N/A,#N/A,FALSE,"Cashflow Analysis";#N/A,#N/A,FALSE,"Sensitivity Analysis";#N/A,#N/A,FALSE,"PV";#N/A,#N/A,FALSE,"Pro Forma"}</definedName>
    <definedName name="BudgetSumm" hidden="1">{#N/A,#N/A,FALSE,"Cashflow Analysis";#N/A,#N/A,FALSE,"Sensitivity Analysis";#N/A,#N/A,FALSE,"PV";#N/A,#N/A,FALSE,"Pro Forma"}</definedName>
    <definedName name="BudgetSumm.2" localSheetId="11" hidden="1">{#N/A,#N/A,FALSE,"Cashflow Analysis";#N/A,#N/A,FALSE,"Sensitivity Analysis";#N/A,#N/A,FALSE,"PV";#N/A,#N/A,FALSE,"Pro Forma"}</definedName>
    <definedName name="BudgetSumm.2" hidden="1">{#N/A,#N/A,FALSE,"Cashflow Analysis";#N/A,#N/A,FALSE,"Sensitivity Analysis";#N/A,#N/A,FALSE,"PV";#N/A,#N/A,FALSE,"Pro Forma"}</definedName>
    <definedName name="c.LTMYear" hidden="1">#REF!</definedName>
    <definedName name="cap" hidden="1">#REF!</definedName>
    <definedName name="CapexExhibit">OFFSET([2]Capex!$B$15,0,0,COUNTA([2]Capex!$A:$A),6)</definedName>
    <definedName name="cb_sChart41E9A35_opts" hidden="1">"1, 9, 1, False, 2, False, False, , 0, False, True, 1, 1"</definedName>
    <definedName name="cc" localSheetId="11" hidden="1">{#N/A,#N/A,FALSE,"LoanAssumptions"}</definedName>
    <definedName name="cc" hidden="1">{#N/A,#N/A,FALSE,"LoanAssumptions"}</definedName>
    <definedName name="ccc" localSheetId="11" hidden="1">{#N/A,#N/A,FALSE,"LoanAssumptions"}</definedName>
    <definedName name="ccc" hidden="1">{#N/A,#N/A,FALSE,"LoanAssumptions"}</definedName>
    <definedName name="CCEC_DATA" hidden="1">#REF!</definedName>
    <definedName name="check2" localSheetId="11" hidden="1">{#N/A,#N/A,FALSE,"Cashflow Analysis";#N/A,#N/A,FALSE,"Sensitivity Analysis";#N/A,#N/A,FALSE,"PV";#N/A,#N/A,FALSE,"Pro Forma"}</definedName>
    <definedName name="check2" hidden="1">{#N/A,#N/A,FALSE,"Cashflow Analysis";#N/A,#N/A,FALSE,"Sensitivity Analysis";#N/A,#N/A,FALSE,"PV";#N/A,#N/A,FALSE,"Pro Forma"}</definedName>
    <definedName name="ClassAaccdconst">#REF!</definedName>
    <definedName name="Classaaccdmo32">#REF!</definedName>
    <definedName name="ClassAPref">#REF!</definedName>
    <definedName name="Common_C">OFFSET([2]Capex!$AS$3,0,0,COUNTA([2]Capex!$AT:$AT)+1,7)</definedName>
    <definedName name="Common_L">OFFSET([2]Capex!$BQ$3,0,0,COUNTA([2]Capex!$BR:$BR)+1,7)</definedName>
    <definedName name="Company_Table">OFFSET([2]Capex!$AC$2,0,0,COUNTA([2]Capex!$AD:$AD),7)</definedName>
    <definedName name="CompanyOH" hidden="1">#REF!</definedName>
    <definedName name="ComSpec">#REF!</definedName>
    <definedName name="Constloanbalance">#REF!</definedName>
    <definedName name="COO" localSheetId="11" hidden="1">{#N/A,#N/A,FALSE,"Matrix";#N/A,#N/A,FALSE,"Cash Flow";#N/A,#N/A,FALSE,"10 Year Cost Analysis"}</definedName>
    <definedName name="COO" hidden="1">{#N/A,#N/A,FALSE,"Matrix";#N/A,#N/A,FALSE,"Cash Flow";#N/A,#N/A,FALSE,"10 Year Cost Analysis"}</definedName>
    <definedName name="CreditStats" hidden="1">#REF!</definedName>
    <definedName name="CRESF">#REF!</definedName>
    <definedName name="CU?">#REF!</definedName>
    <definedName name="Cum_Int">#REF!</definedName>
    <definedName name="Cwvu.GREY_ALL." hidden="1">#REF!</definedName>
    <definedName name="cxgxgfgfs" localSheetId="11" hidden="1">{#N/A,#N/A,FALSE,"Cashflow Analysis";#N/A,#N/A,FALSE,"Sensitivity Analysis";#N/A,#N/A,FALSE,"PV";#N/A,#N/A,FALSE,"Pro Forma"}</definedName>
    <definedName name="cxgxgfgfs" hidden="1">{#N/A,#N/A,FALSE,"Cashflow Analysis";#N/A,#N/A,FALSE,"Sensitivity Analysis";#N/A,#N/A,FALSE,"PV";#N/A,#N/A,FALSE,"Pro Forma"}</definedName>
    <definedName name="cxgxgfgfs.2" localSheetId="11" hidden="1">{#N/A,#N/A,FALSE,"Cashflow Analysis";#N/A,#N/A,FALSE,"Sensitivity Analysis";#N/A,#N/A,FALSE,"PV";#N/A,#N/A,FALSE,"Pro Forma"}</definedName>
    <definedName name="cxgxgfgfs.2" hidden="1">{#N/A,#N/A,FALSE,"Cashflow Analysis";#N/A,#N/A,FALSE,"Sensitivity Analysis";#N/A,#N/A,FALSE,"PV";#N/A,#N/A,FALSE,"Pro Forma"}</definedName>
    <definedName name="d" localSheetId="11" hidden="1">{"summary1",#N/A,TRUE,"Comps";"summary2",#N/A,TRUE,"Comps";"summary3",#N/A,TRUE,"Comps"}</definedName>
    <definedName name="d" hidden="1">{"summary1",#N/A,TRUE,"Comps";"summary2",#N/A,TRUE,"Comps";"summary3",#N/A,TRUE,"Comps"}</definedName>
    <definedName name="DAFAD" localSheetId="11" hidden="1">{"cap_structure",#N/A,FALSE,"Graph-Mkt Cap";"price",#N/A,FALSE,"Graph-Price";"ebit",#N/A,FALSE,"Graph-EBITDA";"ebitda",#N/A,FALSE,"Graph-EBITDA"}</definedName>
    <definedName name="DAFAD" hidden="1">{"cap_structure",#N/A,FALSE,"Graph-Mkt Cap";"price",#N/A,FALSE,"Graph-Price";"ebit",#N/A,FALSE,"Graph-EBITDA";"ebitda",#N/A,FALSE,"Graph-EBITDA"}</definedName>
    <definedName name="dafgdfg" localSheetId="11" hidden="1">{"inputs raw data",#N/A,TRUE,"INPUT"}</definedName>
    <definedName name="dafgdfg" hidden="1">{"inputs raw data",#N/A,TRUE,"INPUT"}</definedName>
    <definedName name="Data" localSheetId="11">#REF!</definedName>
    <definedName name="data" hidden="1">{"data",#N/A,FALSE,"INPUT"}</definedName>
    <definedName name="DATA_0" hidden="1">#REF!</definedName>
    <definedName name="DATA_01" hidden="1">#REF!</definedName>
    <definedName name="DATA_01A" hidden="1">#REF!</definedName>
    <definedName name="data_02" hidden="1">#REF!</definedName>
    <definedName name="DATA_03" hidden="1">#REF!</definedName>
    <definedName name="data_04" hidden="1">#REF!</definedName>
    <definedName name="DATA_05" hidden="1">#REF!</definedName>
    <definedName name="DATA_05A" hidden="1">#REF!</definedName>
    <definedName name="DATA_07" hidden="1">#REF!</definedName>
    <definedName name="DATA_07A" hidden="1">#REF!</definedName>
    <definedName name="DATA_08" hidden="1">#REF!</definedName>
    <definedName name="dd" localSheetId="11" hidden="1">{"MonthlyRentRoll",#N/A,FALSE,"RentRoll"}</definedName>
    <definedName name="dd" hidden="1">{"MonthlyRentRoll",#N/A,FALSE,"RentRoll"}</definedName>
    <definedName name="ddd" localSheetId="11" hidden="1">{"MonthlyRentRoll",#N/A,FALSE,"RentRoll"}</definedName>
    <definedName name="ddd" hidden="1">{"MonthlyRentRoll",#N/A,FALSE,"RentRoll"}</definedName>
    <definedName name="dddd" hidden="1">#REF!</definedName>
    <definedName name="dddddd" localSheetId="11" hidden="1">{#N/A,#N/A,FALSE,"CAPREIT"}</definedName>
    <definedName name="dddddd" hidden="1">{#N/A,#N/A,FALSE,"CAPREIT"}</definedName>
    <definedName name="ddddddd" localSheetId="11" hidden="1">{#N/A,#N/A,FALSE,"CAPREIT"}</definedName>
    <definedName name="ddddddd" hidden="1">{#N/A,#N/A,FALSE,"CAPREIT"}</definedName>
    <definedName name="Deferred_C">OFFSET([2]Capex!$BA$3,0,0,COUNTA([2]Capex!$BB:$BB)+1,7)</definedName>
    <definedName name="Deferred_L">OFFSET([2]Capex!$BY$3,0,0,COUNTA([2]Capex!$BZ:$BZ)+1,7)</definedName>
    <definedName name="developer_share_pref_Return5">#REF!</definedName>
    <definedName name="dfahgadf"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fahga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dfd" localSheetId="11" hidden="1">{"FCB_ALL",#N/A,FALSE,"FCB";"GREY_ALL",#N/A,FALSE,"GREY"}</definedName>
    <definedName name="dfd" hidden="1">{"FCB_ALL",#N/A,FALSE,"FCB";"GREY_ALL",#N/A,FALSE,"GREY"}</definedName>
    <definedName name="dfdas" localSheetId="11" hidden="1">{"FCB_ALL",#N/A,FALSE,"FCB";"GREY_ALL",#N/A,FALSE,"GREY"}</definedName>
    <definedName name="dfdas" hidden="1">{"FCB_ALL",#N/A,FALSE,"FCB";"GREY_ALL",#N/A,FALSE,"GREY"}</definedName>
    <definedName name="dfdfd" localSheetId="11" hidden="1">{"FCB_ALL",#N/A,FALSE,"FCB";"GREY_ALL",#N/A,FALSE,"GREY"}</definedName>
    <definedName name="dfdfd" hidden="1">{"FCB_ALL",#N/A,FALSE,"FCB";"GREY_ALL",#N/A,FALSE,"GREY"}</definedName>
    <definedName name="dfdfdfd" localSheetId="11" hidden="1">{"FCB_ALL",#N/A,FALSE,"FCB"}</definedName>
    <definedName name="dfdfdfd" hidden="1">{"FCB_ALL",#N/A,FALSE,"FCB"}</definedName>
    <definedName name="dfgd" localSheetId="11" hidden="1">{#N/A,#N/A,FALSE,"Cashflow Analysis";#N/A,#N/A,FALSE,"Sensitivity Analysis";#N/A,#N/A,FALSE,"PV";#N/A,#N/A,FALSE,"Pro Forma"}</definedName>
    <definedName name="dfgd" hidden="1">{#N/A,#N/A,FALSE,"Cashflow Analysis";#N/A,#N/A,FALSE,"Sensitivity Analysis";#N/A,#N/A,FALSE,"PV";#N/A,#N/A,FALSE,"Pro Forma"}</definedName>
    <definedName name="dfhdfagdf" localSheetId="11" hidden="1">{"cap_structure",#N/A,FALSE,"Graph-Mkt Cap";"price",#N/A,FALSE,"Graph-Price";"ebit",#N/A,FALSE,"Graph-EBITDA";"ebitda",#N/A,FALSE,"Graph-EBITDA"}</definedName>
    <definedName name="dfhdfagdf" hidden="1">{"cap_structure",#N/A,FALSE,"Graph-Mkt Cap";"price",#N/A,FALSE,"Graph-Price";"ebit",#N/A,FALSE,"Graph-EBITDA";"ebitda",#N/A,FALSE,"Graph-EBITDA"}</definedName>
    <definedName name="DHG" localSheetId="11" hidden="1">{"cap_structure",#N/A,FALSE,"Graph-Mkt Cap";"price",#N/A,FALSE,"Graph-Price";"ebit",#N/A,FALSE,"Graph-EBITDA";"ebitda",#N/A,FALSE,"Graph-EBITDA"}</definedName>
    <definedName name="DHG" hidden="1">{"cap_structure",#N/A,FALSE,"Graph-Mkt Cap";"price",#N/A,FALSE,"Graph-Price";"ebit",#N/A,FALSE,"Graph-EBITDA";"ebitda",#N/A,FALSE,"Graph-EBITDA"}</definedName>
    <definedName name="dis" localSheetId="11" hidden="1">{#N/A,#N/A,FALSE,"Cashflow Analysis";#N/A,#N/A,FALSE,"Sensitivity Analysis";#N/A,#N/A,FALSE,"PV";#N/A,#N/A,FALSE,"Pro Forma"}</definedName>
    <definedName name="dis" hidden="1">{#N/A,#N/A,FALSE,"Cashflow Analysis";#N/A,#N/A,FALSE,"Sensitivity Analysis";#N/A,#N/A,FALSE,"PV";#N/A,#N/A,FALSE,"Pro Forma"}</definedName>
    <definedName name="dis.2" localSheetId="11" hidden="1">{#N/A,#N/A,FALSE,"Cashflow Analysis";#N/A,#N/A,FALSE,"Sensitivity Analysis";#N/A,#N/A,FALSE,"PV";#N/A,#N/A,FALSE,"Pro Forma"}</definedName>
    <definedName name="dis.2" hidden="1">{#N/A,#N/A,FALSE,"Cashflow Analysis";#N/A,#N/A,FALSE,"Sensitivity Analysis";#N/A,#N/A,FALSE,"PV";#N/A,#N/A,FALSE,"Pro Forma"}</definedName>
    <definedName name="DME_Dirty" hidden="1">"False"</definedName>
    <definedName name="DME_LocalFile" hidden="1">"True"</definedName>
    <definedName name="DME_ODMALinks1" hidden="1">"::ODMA\DME-MSE\London-44590=C:\TEMP\Dme\London-44590.xls"</definedName>
    <definedName name="DME_ODMALinksCount" hidden="1">"1"</definedName>
    <definedName name="DZ.IndSpec_Left" hidden="1">#REF!</definedName>
    <definedName name="DZ.IndSpec_Right" hidden="1">#REF!</definedName>
    <definedName name="DZ.LTM" hidden="1">#REF!</definedName>
    <definedName name="DZ.LTMPlus" hidden="1">#REF!</definedName>
    <definedName name="e"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e"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earghdfh"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arghdfh"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e" localSheetId="11" hidden="1">{#N/A,#N/A,FALSE,"OperatingAssumptions"}</definedName>
    <definedName name="ee" hidden="1">{#N/A,#N/A,FALSE,"OperatingAssumptions"}</definedName>
    <definedName name="eee" localSheetId="11" hidden="1">{#N/A,#N/A,FALSE,"OperatingAssumptions"}</definedName>
    <definedName name="eee" hidden="1">{#N/A,#N/A,FALSE,"OperatingAssumptions"}</definedName>
    <definedName name="End_Bal">#REF!</definedName>
    <definedName name="ENTRIES" hidden="1">#REF!</definedName>
    <definedName name="Equity_Share_GP">#REF!</definedName>
    <definedName name="Equity_Share_LP">#REF!</definedName>
    <definedName name="er"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er"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ertyui" localSheetId="11" hidden="1">{"FCB_ALL",#N/A,FALSE,"FCB";"GREY_ALL",#N/A,FALSE,"GREY"}</definedName>
    <definedName name="ertyui" hidden="1">{"FCB_ALL",#N/A,FALSE,"FCB";"GREY_ALL",#N/A,FALSE,"GREY"}</definedName>
    <definedName name="ev.Calculation" hidden="1">-4135</definedName>
    <definedName name="ev.Initialized" hidden="1">FALSE</definedName>
    <definedName name="EV__CVPARAMS__" hidden="1">"S1!$A$4:$B$21;"</definedName>
    <definedName name="EV__EVCOM_OPTIONS__" hidden="1">10</definedName>
    <definedName name="EV__EXPOPTIONS__" hidden="1">0</definedName>
    <definedName name="EV__LASTREFTIME__" hidden="1">38433.706724537</definedName>
    <definedName name="EV__MAXEXPCOLS__" hidden="1">255</definedName>
    <definedName name="EV__MAXEXPROWS__" hidden="1">65500</definedName>
    <definedName name="EV__MEMORYCVW__" hidden="1">0</definedName>
    <definedName name="EV__USERCHANGEOPTIONS__" hidden="1">1</definedName>
    <definedName name="EV__WBEVMODE__" hidden="1">0</definedName>
    <definedName name="EV__WBREFOPTIONS__" hidden="1">134217783</definedName>
    <definedName name="EV__WBVERSION__" hidden="1">0</definedName>
    <definedName name="Exchange_Rates" hidden="1">#REF!</definedName>
    <definedName name="EXITCAP">#REF!</definedName>
    <definedName name="EXPENSEGROWTHRATE">'[1]Tax &amp; Management'!$C$15</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Extra_Pay">#REF!</definedName>
    <definedName name="fadsf"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adsf"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dfdfd" localSheetId="11" hidden="1">{#N/A,#N/A,FALSE,"CAPREIT"}</definedName>
    <definedName name="fdfdfd" hidden="1">{#N/A,#N/A,FALSE,"CAPREIT"}</definedName>
    <definedName name="fdfdfdf" localSheetId="11" hidden="1">{#N/A,#N/A,FALSE,"CAPREIT"}</definedName>
    <definedName name="fdfdfdf" hidden="1">{#N/A,#N/A,FALSE,"CAPREIT"}</definedName>
    <definedName name="fdgad" localSheetId="11" hidden="1">{"inputs raw data",#N/A,TRUE,"INPUT"}</definedName>
    <definedName name="fdgad" hidden="1">{"inputs raw data",#N/A,TRUE,"INPUT"}</definedName>
    <definedName name="ff" localSheetId="11" hidden="1">{#N/A,#N/A,TRUE,"Summary";"AnnualRentRoll",#N/A,TRUE,"RentRoll";#N/A,#N/A,TRUE,"ExitStratigy";#N/A,#N/A,TRUE,"OperatingAssumptions"}</definedName>
    <definedName name="ff" hidden="1">{#N/A,#N/A,TRUE,"Summary";"AnnualRentRoll",#N/A,TRUE,"RentRoll";#N/A,#N/A,TRUE,"ExitStratigy";#N/A,#N/A,TRUE,"OperatingAssumptions"}</definedName>
    <definedName name="fff" localSheetId="11" hidden="1">{#N/A,#N/A,TRUE,"Summary";"AnnualRentRoll",#N/A,TRUE,"RentRoll";#N/A,#N/A,TRUE,"ExitStratigy";#N/A,#N/A,TRUE,"OperatingAssumptions"}</definedName>
    <definedName name="fff" hidden="1">{#N/A,#N/A,TRUE,"Summary";"AnnualRentRoll",#N/A,TRUE,"RentRoll";#N/A,#N/A,TRUE,"ExitStratigy";#N/A,#N/A,TRUE,"OperatingAssumptions"}</definedName>
    <definedName name="ffffff" localSheetId="11" hidden="1">{#N/A,#N/A,FALSE,"Cashflow Analysis";#N/A,#N/A,FALSE,"Sensitivity Analysis";#N/A,#N/A,FALSE,"PV";#N/A,#N/A,FALSE,"Pro Forma"}</definedName>
    <definedName name="ffffff" hidden="1">{#N/A,#N/A,FALSE,"Cashflow Analysis";#N/A,#N/A,FALSE,"Sensitivity Analysis";#N/A,#N/A,FALSE,"PV";#N/A,#N/A,FALSE,"Pro Forma"}</definedName>
    <definedName name="ffffff.2" localSheetId="11" hidden="1">{#N/A,#N/A,FALSE,"Cashflow Analysis";#N/A,#N/A,FALSE,"Sensitivity Analysis";#N/A,#N/A,FALSE,"PV";#N/A,#N/A,FALSE,"Pro Forma"}</definedName>
    <definedName name="ffffff.2" hidden="1">{#N/A,#N/A,FALSE,"Cashflow Analysis";#N/A,#N/A,FALSE,"Sensitivity Analysis";#N/A,#N/A,FALSE,"PV";#N/A,#N/A,FALSE,"Pro Forma"}</definedName>
    <definedName name="fhg"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hg"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hj"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fhj" hidden="1">{TRUE,TRUE,-1.25,-15.5,604.5,369,FALSE,FALSE,TRUE,TRUE,0,1,83,1,38,4,5,4,TRUE,TRUE,3,TRUE,1,TRUE,75,"Swvu.inputs._.raw._.data.","ACwvu.inputs._.raw._.data.",#N/A,FALSE,FALSE,0.5,0.5,0.5,0.5,2,"&amp;F","&amp;A&amp;RPage &amp;P",FALSE,FALSE,FALSE,FALSE,1,60,#N/A,#N/A,"=R1C61:R53C89","=C1:C5",#N/A,#N/A,FALSE,FALSE,FALSE,1,600,600,FALSE,FALSE,TRUE,TRUE,TRUE}</definedName>
    <definedName name="FilePath">#REF!</definedName>
    <definedName name="Fill" hidden="1">#REF!</definedName>
    <definedName name="fm" localSheetId="11" hidden="1">{"summary1",#N/A,TRUE,"Comps";"summary2",#N/A,TRUE,"Comps";"summary3",#N/A,TRUE,"Comps"}</definedName>
    <definedName name="fm" hidden="1">{"summary1",#N/A,TRUE,"Comps";"summary2",#N/A,TRUE,"Comps";"summary3",#N/A,TRUE,"Comps"}</definedName>
    <definedName name="FRED" localSheetId="11" hidden="1">{#N/A,#N/A,FALSE,"Summary";#N/A,#N/A,FALSE,"Sales";#N/A,#N/A,FALSE,"Costs";#N/A,#N/A,FALSE,"1996";#N/A,#N/A,FALSE,"1997";#N/A,#N/A,FALSE,"1998";#N/A,#N/A,FALSE,"1999";#N/A,#N/A,FALSE,"2000";#N/A,#N/A,FALSE,"2001";#N/A,#N/A,FALSE,"2002";#N/A,#N/A,FALSE,"2003";#N/A,#N/A,FALSE,"2004";#N/A,#N/A,FALSE,"2005";#N/A,#N/A,FALSE,"2006"}</definedName>
    <definedName name="FRED" hidden="1">{#N/A,#N/A,FALSE,"Summary";#N/A,#N/A,FALSE,"Sales";#N/A,#N/A,FALSE,"Costs";#N/A,#N/A,FALSE,"1996";#N/A,#N/A,FALSE,"1997";#N/A,#N/A,FALSE,"1998";#N/A,#N/A,FALSE,"1999";#N/A,#N/A,FALSE,"2000";#N/A,#N/A,FALSE,"2001";#N/A,#N/A,FALSE,"2002";#N/A,#N/A,FALSE,"2003";#N/A,#N/A,FALSE,"2004";#N/A,#N/A,FALSE,"2005";#N/A,#N/A,FALSE,"2006"}</definedName>
    <definedName name="fuckface" localSheetId="11" hidden="1">{#N/A,#N/A,FALSE,"Assumptions";#N/A,#N/A,FALSE,"Impact Assumptions";#N/A,#N/A,FALSE,"10-Yr - detail";#N/A,#N/A,FALSE,"1,5,10 yr comp";#N/A,#N/A,FALSE,"Lse-Exp.";#N/A,#N/A,FALSE,"Rent Roll";#N/A,#N/A,FALSE,"Historical (2)";#N/A,#N/A,FALSE,"RET's";#N/A,#N/A,FALSE,"Lease Rollover"}</definedName>
    <definedName name="fuckface" hidden="1">{#N/A,#N/A,FALSE,"Assumptions";#N/A,#N/A,FALSE,"Impact Assumptions";#N/A,#N/A,FALSE,"10-Yr - detail";#N/A,#N/A,FALSE,"1,5,10 yr comp";#N/A,#N/A,FALSE,"Lse-Exp.";#N/A,#N/A,FALSE,"Rent Roll";#N/A,#N/A,FALSE,"Historical (2)";#N/A,#N/A,FALSE,"RET's";#N/A,#N/A,FALSE,"Lease Rollover"}</definedName>
    <definedName name="Full_Print">#REF!</definedName>
    <definedName name="gegeg" localSheetId="11" hidden="1">{#N/A,#N/A,FALSE,"Cashflow Analysis";#N/A,#N/A,FALSE,"Sensitivity Analysis";#N/A,#N/A,FALSE,"PV";#N/A,#N/A,FALSE,"Pro Forma"}</definedName>
    <definedName name="gegeg" hidden="1">{#N/A,#N/A,FALSE,"Cashflow Analysis";#N/A,#N/A,FALSE,"Sensitivity Analysis";#N/A,#N/A,FALSE,"PV";#N/A,#N/A,FALSE,"Pro Forma"}</definedName>
    <definedName name="gegeg.2" localSheetId="11" hidden="1">{#N/A,#N/A,FALSE,"Cashflow Analysis";#N/A,#N/A,FALSE,"Sensitivity Analysis";#N/A,#N/A,FALSE,"PV";#N/A,#N/A,FALSE,"Pro Forma"}</definedName>
    <definedName name="gegeg.2" hidden="1">{#N/A,#N/A,FALSE,"Cashflow Analysis";#N/A,#N/A,FALSE,"Sensitivity Analysis";#N/A,#N/A,FALSE,"PV";#N/A,#N/A,FALSE,"Pro Forma"}</definedName>
    <definedName name="gfhs" localSheetId="11" hidden="1">{"summary1",#N/A,TRUE,"Comps";"summary2",#N/A,TRUE,"Comps";"summary3",#N/A,TRUE,"Comps"}</definedName>
    <definedName name="gfhs" hidden="1">{"summary1",#N/A,TRUE,"Comps";"summary2",#N/A,TRUE,"Comps";"summary3",#N/A,TRUE,"Comps"}</definedName>
    <definedName name="gg" localSheetId="11" hidden="1">{#N/A,#N/A,FALSE,"PropertyInfo"}</definedName>
    <definedName name="gg" hidden="1">{#N/A,#N/A,FALSE,"PropertyInfo"}</definedName>
    <definedName name="gg.2" localSheetId="11" hidden="1">{#N/A,#N/A,FALSE,"Cashflow Analysis";#N/A,#N/A,FALSE,"Sensitivity Analysis";#N/A,#N/A,FALSE,"PV";#N/A,#N/A,FALSE,"Pro Forma"}</definedName>
    <definedName name="gg.2" hidden="1">{#N/A,#N/A,FALSE,"Cashflow Analysis";#N/A,#N/A,FALSE,"Sensitivity Analysis";#N/A,#N/A,FALSE,"PV";#N/A,#N/A,FALSE,"Pro Forma"}</definedName>
    <definedName name="ggg" localSheetId="11" hidden="1">{#N/A,#N/A,FALSE,"PropertyInfo"}</definedName>
    <definedName name="ggg" hidden="1">{#N/A,#N/A,FALSE,"PropertyInfo"}</definedName>
    <definedName name="gh" localSheetId="11" hidden="1">{"FCB_ALL",#N/A,FALSE,"FCB";"GREY_ALL",#N/A,FALSE,"GREY"}</definedName>
    <definedName name="gh" hidden="1">{"FCB_ALL",#N/A,FALSE,"FCB";"GREY_ALL",#N/A,FALSE,"GREY"}</definedName>
    <definedName name="GKUY"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GKUY"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GOINGINCAP">#REF!</definedName>
    <definedName name="GPCF1">#REF!</definedName>
    <definedName name="GPCF2">#REF!</definedName>
    <definedName name="GPCF3">#REF!</definedName>
    <definedName name="GPCF4">#REF!</definedName>
    <definedName name="GPEQUITY">#REF!</definedName>
    <definedName name="h"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h"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HD"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HD" hidden="1">{TRUE,TRUE,-1.25,-15.5,604.5,369,FALSE,FALSE,TRUE,TRUE,0,1,83,1,38,4,5,4,TRUE,TRUE,3,TRUE,1,TRUE,75,"Swvu.inputs._.raw._.data.","ACwvu.inputs._.raw._.data.",#N/A,FALSE,FALSE,0.5,0.5,0.5,0.5,2,"&amp;F","&amp;A&amp;RPage &amp;P",FALSE,FALSE,FALSE,FALSE,1,60,#N/A,#N/A,"=R1C61:R53C89","=C1:C5",#N/A,#N/A,FALSE,FALSE,FALSE,1,600,600,FALSE,FALSE,TRUE,TRUE,TRUE}</definedName>
    <definedName name="Header_C">[2]Capex!$L$2:$R$2</definedName>
    <definedName name="Header_L">[2]Capex!$L$7:$R$7</definedName>
    <definedName name="Header_Row">#REF!</definedName>
    <definedName name="hh" localSheetId="11" hidden="1">{#N/A,#N/A,FALSE,"Summary"}</definedName>
    <definedName name="hh" hidden="1">{#N/A,#N/A,FALSE,"Summary"}</definedName>
    <definedName name="hhh" localSheetId="11" hidden="1">{#N/A,#N/A,FALSE,"Summary"}</definedName>
    <definedName name="hhh" hidden="1">{#N/A,#N/A,FALSE,"Summary"}</definedName>
    <definedName name="hjf"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hjf"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ConvertVal1" hidden="1">#REF!</definedName>
    <definedName name="hn.ConvertZero1" localSheetId="11" hidden="1">#REF!,#REF!,#REF!,#REF!,#REF!,#REF!,#REF!,#REF!,#REF!,#REF!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Z_MultByFXRates" hidden="1">#REF!,#REF!,#REF!,#REF!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ParityCheck" hidden="1">#REF!</definedName>
    <definedName name="hn.PrivateLTMYear" hidden="1">#REF!</definedName>
    <definedName name="hn.USLast" hidden="1">#REF!</definedName>
    <definedName name="hn.YearLabel" hidden="1">#REF!</definedName>
    <definedName name="HOLDPERIOD">[1]Summary!$K$32</definedName>
    <definedName name="html" localSheetId="11" hidden="1">{"'Assump'!$F$6:$J$6"}</definedName>
    <definedName name="html" hidden="1">{"'Assump'!$F$6:$J$6"}</definedName>
    <definedName name="HTML_CodePage" hidden="1">1252</definedName>
    <definedName name="HTML_Control" localSheetId="11" hidden="1">{"'Assump'!$F$6:$J$6"}</definedName>
    <definedName name="HTML_Control" hidden="1">{"'Assump'!$F$6:$J$6"}</definedName>
    <definedName name="HTML_Description" hidden="1">""</definedName>
    <definedName name="HTML_Email" hidden="1">""</definedName>
    <definedName name="HTML_Header" hidden="1">"Assump"</definedName>
    <definedName name="HTML_LastUpdate" hidden="1">"7/24/98"</definedName>
    <definedName name="HTML_LineAfter" hidden="1">FALSE</definedName>
    <definedName name="HTML_LineBefore" hidden="1">FALSE</definedName>
    <definedName name="HTML_Name" hidden="1">"Russell Caplin"</definedName>
    <definedName name="HTML_OBDlg2" hidden="1">TRUE</definedName>
    <definedName name="HTML_OBDlg4" hidden="1">TRUE</definedName>
    <definedName name="HTML_OS" hidden="1">0</definedName>
    <definedName name="HTML_PathFile" hidden="1">"C:\acg\MyHTML.htm"</definedName>
    <definedName name="HTML_Title" hidden="1">"ashish"</definedName>
    <definedName name="htmlnew" localSheetId="11" hidden="1">{"'Assump'!$F$6:$J$6"}</definedName>
    <definedName name="htmlnew" hidden="1">{"'Assump'!$F$6:$J$6"}</definedName>
    <definedName name="huh" localSheetId="11" hidden="1">{#N/A,#N/A,FALSE,"Assumptions";#N/A,#N/A,FALSE,"Impact Assumptions";#N/A,#N/A,FALSE,"10-Yr - detail";#N/A,#N/A,FALSE,"1,5,10 yr comp";#N/A,#N/A,FALSE,"Lse-Exp.";#N/A,#N/A,FALSE,"Rent Roll";#N/A,#N/A,FALSE,"Historical (2)";#N/A,#N/A,FALSE,"RET's";#N/A,#N/A,FALSE,"Lease Rollover"}</definedName>
    <definedName name="huh" hidden="1">{#N/A,#N/A,FALSE,"Assumptions";#N/A,#N/A,FALSE,"Impact Assumptions";#N/A,#N/A,FALSE,"10-Yr - detail";#N/A,#N/A,FALSE,"1,5,10 yr comp";#N/A,#N/A,FALSE,"Lse-Exp.";#N/A,#N/A,FALSE,"Rent Roll";#N/A,#N/A,FALSE,"Historical (2)";#N/A,#N/A,FALSE,"RET's";#N/A,#N/A,FALSE,"Lease Rollover"}</definedName>
    <definedName name="HURDLE2">#REF!</definedName>
    <definedName name="HURDLE3">#REF!</definedName>
    <definedName name="HURDLE4">#REF!</definedName>
    <definedName name="HURLDE2">#REF!</definedName>
    <definedName name="IHMPrintCF1" hidden="1">#REF!</definedName>
    <definedName name="IHMPrintMR1" hidden="1">#REF!</definedName>
    <definedName name="IHMPrintMR2" hidden="1">#REF!</definedName>
    <definedName name="IHMPrintVAL1" hidden="1">#REF!</definedName>
    <definedName name="IHMPrintVAL2" hidden="1">#REF!</definedName>
    <definedName name="immediate" localSheetId="11" hidden="1">{"sheet a",#N/A,FALSE,"A";"2 9 casflow",#N/A,FALSE,"B"}</definedName>
    <definedName name="immediate" hidden="1">{"sheet a",#N/A,FALSE,"A";"2 9 casflow",#N/A,FALSE,"B"}</definedName>
    <definedName name="Int">#REF!</definedName>
    <definedName name="Interest_Rate">#REF!</definedName>
    <definedName name="INTERESTRATE">#REF!</definedName>
    <definedName name="INTROP" hidden="1">#REF!</definedName>
    <definedName name="IntroPrintArea" hidden="1">#REF!</definedName>
    <definedName name="Investor_share">#REF!</definedName>
    <definedName name="Investor_Share_5">#REF!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"c1471"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"c100"</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"c118"</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"c124"</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ES" hidden="1">"c147"</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S_FDIC" hidden="1">"c6523"</definedName>
    <definedName name="IQ_DESCRIPTION_LONG" hidden="1">"c322"</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"c333"</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"c360"</definedName>
    <definedName name="IQ_EBIT_SBC_ACT_OR_EST" hidden="1">"c4316"</definedName>
    <definedName name="IQ_EBIT_SBC_ACT_OR_EST_CIQ" hidden="1">"c4841"</definedName>
    <definedName name="IQ_EBIT_SBC_GW_ACT_OR_EST" hidden="1">"c4320"</definedName>
    <definedName name="IQ_EBIT_SBC_GW_ACT_OR_EST_CIQ" hidden="1">"c4845"</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HIGH_EST" hidden="1">"c370"</definedName>
    <definedName name="IQ_EBITDA_HIGH_EST_CIQ" hidden="1">"c3624"</definedName>
    <definedName name="IQ_EBITDA_HIGH_EST_REUT" hidden="1">"c3642"</definedName>
    <definedName name="IQ_EBITDA_INT" hidden="1">"c373"</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"c373"</definedName>
    <definedName name="IQ_EBITDA_SBC_ACT_OR_EST" hidden="1">"c4337"</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GW_ACT_OR_EST" hidden="1">"c4354"</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"c84"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EST_REUT" hidden="1">"c5453"</definedName>
    <definedName name="IQ_EPS_GW_ACT_OR_EST_CIQ" hidden="1">"c5066"</definedName>
    <definedName name="IQ_EPS_GW_EST" hidden="1">"c1737"</definedName>
    <definedName name="IQ_EPS_GW_EST_CIQ" hidden="1">"c4723"</definedName>
    <definedName name="IQ_EPS_GW_EST_REUT" hidden="1">"c5389"</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_CIQ" hidden="1">"c5067"</definedName>
    <definedName name="IQ_EPS_REPORTED_EST" hidden="1">"c1744"</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GW_ACT_OR_EST" hidden="1">"c4380"</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FFIL" hidden="1">"c552"</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"c739"</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"c413"</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 hidden="1">"c4435"</definedName>
    <definedName name="IQ_FFO_ADJ_ACT_OR_EST_CIQ" hidden="1">"c4960"</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TDDEV_EST" hidden="1">"c422"</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"c893"</definedName>
    <definedName name="IQ_FINANCING_CASH_SUPPL" hidden="1">"c899"</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"c907"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GW_ACT_OR_EST" hidden="1">"c4478"</definedName>
    <definedName name="IQ_NI_SBC_GW_ACT_OR_EST_CIQ" hidden="1">"c5016"</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"c362"</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"c868"</definedName>
    <definedName name="IQ_OTHER_CURRENT_LIAB" hidden="1">"c877"</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"c8"</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"c1034"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TOT" hidden="1">"c1044"</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SHARE_ACT_OR_EST" hidden="1">"c4508"</definedName>
    <definedName name="IQ_RECURRING_PROFIT_SHARE_ACT_OR_EST_CIQ" hidden="1">"c5046"</definedName>
    <definedName name="IQ_REDEEM_PREF_STOCK" hidden="1">"c1059"</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"c1092"</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"c1122"</definedName>
    <definedName name="IQ_REVENUE_ACT_OR_EST" hidden="1">"c2214"</definedName>
    <definedName name="IQ_REVENUE_ACT_OR_EST_CIQ" hidden="1">"c5059"</definedName>
    <definedName name="IQ_REVENUE_EST" hidden="1">"c1126"</definedName>
    <definedName name="IQ_REVENUE_EST_CIQ" hidden="1">"c3616"</definedName>
    <definedName name="IQ_REVENUE_EST_REUT" hidden="1">"c3634"</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39653.7055208333</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"c83"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sColHidden" hidden="1">FALSE</definedName>
    <definedName name="IsLTMColHidden" hidden="1">FALSE</definedName>
    <definedName name="jb" localSheetId="11" hidden="1">{"summary1",#N/A,TRUE,"Comps";"summary2",#N/A,TRUE,"Comps";"summary3",#N/A,TRUE,"Comps"}</definedName>
    <definedName name="jb" hidden="1">{"summary1",#N/A,TRUE,"Comps";"summary2",#N/A,TRUE,"Comps";"summary3",#N/A,TRUE,"Comps"}</definedName>
    <definedName name="jes" localSheetId="11" hidden="1">{"View1",#N/A,FALSE,"Sheet1";"View2",#N/A,FALSE,"Sheet1"}</definedName>
    <definedName name="jes" hidden="1">{"View1",#N/A,FALSE,"Sheet1";"View2",#N/A,FALSE,"Sheet1"}</definedName>
    <definedName name="jk"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jk"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jlkj" localSheetId="11" hidden="1">{#N/A,#N/A,TRUE,"XL Cash Flow";#N/A,#N/A,TRUE,"Prop Valuation";#N/A,#N/A,TRUE,"Equity";#N/A,#N/A,TRUE,"Modeling assumptions";#N/A,#N/A,TRUE,"NER Model";#N/A,#N/A,TRUE,"Lease Exp";#N/A,#N/A,TRUE,"Inc &amp; Exp";#N/A,#N/A,TRUE,"Formatted - roll";#N/A,#N/A,TRUE,"Debt Model";#N/A,#N/A,TRUE,"Debt-Moody";#N/A,#N/A,TRUE,"Debt"}</definedName>
    <definedName name="jlkj" hidden="1">{#N/A,#N/A,TRUE,"XL Cash Flow";#N/A,#N/A,TRUE,"Prop Valuation";#N/A,#N/A,TRUE,"Equity";#N/A,#N/A,TRUE,"Modeling assumptions";#N/A,#N/A,TRUE,"NER Model";#N/A,#N/A,TRUE,"Lease Exp";#N/A,#N/A,TRUE,"Inc &amp; Exp";#N/A,#N/A,TRUE,"Formatted - roll";#N/A,#N/A,TRUE,"Debt Model";#N/A,#N/A,TRUE,"Debt-Moody";#N/A,#N/A,TRUE,"Debt"}</definedName>
    <definedName name="jn" localSheetId="11" hidden="1">{"Data Input",#N/A,TRUE,"Data Input";"10-Yr Cash Flow",#N/A,TRUE,"Cash Flow";"10-Yr Value",#N/A,TRUE,"Value "}</definedName>
    <definedName name="jn" hidden="1">{"Data Input",#N/A,TRUE,"Data Input";"10-Yr Cash Flow",#N/A,TRUE,"Cash Flow";"10-Yr Value",#N/A,TRUE,"Value "}</definedName>
    <definedName name="jnm" localSheetId="11" hidden="1">{"Data Input",#N/A,TRUE,"Data Input";"15-Yr Cash Flow",#N/A,TRUE,"Cash Flow";"15-Yr Value",#N/A,TRUE,"Value "}</definedName>
    <definedName name="jnm" hidden="1">{"Data Input",#N/A,TRUE,"Data Input";"15-Yr Cash Flow",#N/A,TRUE,"Cash Flow";"15-Yr Value",#N/A,TRUE,"Value "}</definedName>
    <definedName name="k" localSheetId="11" hidden="1">{#N/A,#N/A,FALSE,"Assumptions";#N/A,#N/A,FALSE,"Consol CF";#N/A,#N/A,FALSE,"matx B4 DS";#N/A,#N/A,FALSE,"Hacienda CF";#N/A,#N/A,FALSE,"matx B4 DS Hac";#N/A,#N/A,FALSE,"Chabot CF";#N/A,#N/A,FALSE,"matx B4 DS Chabot";#N/A,#N/A,FALSE,"Diablo CF";#N/A,#N/A,FALSE,"matx B4 DS Diablo"}</definedName>
    <definedName name="k" hidden="1">{#N/A,#N/A,FALSE,"Assumptions";#N/A,#N/A,FALSE,"Consol CF";#N/A,#N/A,FALSE,"matx B4 DS";#N/A,#N/A,FALSE,"Hacienda CF";#N/A,#N/A,FALSE,"matx B4 DS Hac";#N/A,#N/A,FALSE,"Chabot CF";#N/A,#N/A,FALSE,"matx B4 DS Chabot";#N/A,#N/A,FALSE,"Diablo CF";#N/A,#N/A,FALSE,"matx B4 DS Diablo"}</definedName>
    <definedName name="K2_WBEVMODE" hidden="1">0</definedName>
    <definedName name="KGKHJ"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KGKHJ"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kill" localSheetId="11" hidden="1">{#N/A,#N/A,FALSE,"Summary";#N/A,#N/A,FALSE,"Project Summary";#N/A,#N/A,FALSE,"Development Cost Summary";#N/A,#N/A,FALSE,"Development Cost Allocation";#N/A,#N/A,FALSE,"Pad Fees";#N/A,#N/A,FALSE,"Costs";#N/A,#N/A,FALSE,"Parking Budget";#N/A,#N/A,FALSE,"Retail Development Budget";#N/A,#N/A,FALSE,"Office Development Budget";#N/A,#N/A,FALSE,"Hotel Development Budget"}</definedName>
    <definedName name="kill" hidden="1">{#N/A,#N/A,FALSE,"Summary";#N/A,#N/A,FALSE,"Project Summary";#N/A,#N/A,FALSE,"Development Cost Summary";#N/A,#N/A,FALSE,"Development Cost Allocation";#N/A,#N/A,FALSE,"Pad Fees";#N/A,#N/A,FALSE,"Costs";#N/A,#N/A,FALSE,"Parking Budget";#N/A,#N/A,FALSE,"Retail Development Budget";#N/A,#N/A,FALSE,"Office Development Budget";#N/A,#N/A,FALSE,"Hotel Development Budget"}</definedName>
    <definedName name="kill2" localSheetId="11" hidden="1">{#N/A,#N/A,FALSE,"Pad Fees";#N/A,#N/A,FALSE,"Parking Budget";#N/A,#N/A,FALSE,"Parking Cash Flow";#N/A,#N/A,FALSE,"Parking Assumptions Summary";#N/A,#N/A,FALSE,"Assumptions-M";#N/A,#N/A,FALSE,"Assumptions-T";#N/A,#N/A,FALSE,"Assumptions-W";#N/A,#N/A,FALSE,"Assumptions-R";#N/A,#N/A,FALSE,"Assumptions-F";#N/A,#N/A,FALSE,"Assumptions-Sa";#N/A,#N/A,FALSE,"Assumptions-Su";#N/A,#N/A,FALSE,"Bond Debt Service";#N/A,#N/A,FALSE,"Bond Shortfall"}</definedName>
    <definedName name="kill2" hidden="1">{#N/A,#N/A,FALSE,"Pad Fees";#N/A,#N/A,FALSE,"Parking Budget";#N/A,#N/A,FALSE,"Parking Cash Flow";#N/A,#N/A,FALSE,"Parking Assumptions Summary";#N/A,#N/A,FALSE,"Assumptions-M";#N/A,#N/A,FALSE,"Assumptions-T";#N/A,#N/A,FALSE,"Assumptions-W";#N/A,#N/A,FALSE,"Assumptions-R";#N/A,#N/A,FALSE,"Assumptions-F";#N/A,#N/A,FALSE,"Assumptions-Sa";#N/A,#N/A,FALSE,"Assumptions-Su";#N/A,#N/A,FALSE,"Bond Debt Service";#N/A,#N/A,FALSE,"Bond Shortfall"}</definedName>
    <definedName name="kill3" localSheetId="11" hidden="1">{#N/A,#N/A,FALSE,"Project Summary";#N/A,#N/A,FALSE,"Master Developer Cash Flow";#N/A,#N/A,FALSE,"Parking Budget";#N/A,#N/A,FALSE,"Parking Cash Flow2";#N/A,#N/A,FALSE,"Parking Assumptions";#N/A,#N/A,FALSE,"Bond Structure - Lease";#N/A,#N/A,FALSE,"Retail Development Budget";#N/A,#N/A,FALSE,"Retail Cash Flow";#N/A,#N/A,FALSE,"Retail Assumptions Summary";#N/A,#N/A,FALSE,"Retail Income Assumptions";#N/A,#N/A,FALSE,"Retail % Rent";#N/A,#N/A,FALSE,"Retail Debt Service";#N/A,#N/A,FALSE,"Office Development Budget";#N/A,#N/A,FALSE,"Office Cash Flow";#N/A,#N/A,FALSE,"Office Assumptions";#N/A,#N/A,FALSE,"Office Debt Service";#N/A,#N/A,FALSE,"Hotel Development Budget";#N/A,#N/A,FALSE,"Hotel Cash Flow";#N/A,#N/A,FALSE,"Hotel Assumptions";#N/A,#N/A,FALSE,"Hotel Debt Service"}</definedName>
    <definedName name="kill3" hidden="1">{#N/A,#N/A,FALSE,"Project Summary";#N/A,#N/A,FALSE,"Master Developer Cash Flow";#N/A,#N/A,FALSE,"Parking Budget";#N/A,#N/A,FALSE,"Parking Cash Flow2";#N/A,#N/A,FALSE,"Parking Assumptions";#N/A,#N/A,FALSE,"Bond Structure - Lease";#N/A,#N/A,FALSE,"Retail Development Budget";#N/A,#N/A,FALSE,"Retail Cash Flow";#N/A,#N/A,FALSE,"Retail Assumptions Summary";#N/A,#N/A,FALSE,"Retail Income Assumptions";#N/A,#N/A,FALSE,"Retail % Rent";#N/A,#N/A,FALSE,"Retail Debt Service";#N/A,#N/A,FALSE,"Office Development Budget";#N/A,#N/A,FALSE,"Office Cash Flow";#N/A,#N/A,FALSE,"Office Assumptions";#N/A,#N/A,FALSE,"Office Debt Service";#N/A,#N/A,FALSE,"Hotel Development Budget";#N/A,#N/A,FALSE,"Hotel Cash Flow";#N/A,#N/A,FALSE,"Hotel Assumptions";#N/A,#N/A,FALSE,"Hotel Debt Service"}</definedName>
    <definedName name="kill4" localSheetId="11" hidden="1">{#N/A,#N/A,FALSE,"Project Summary";#N/A,#N/A,FALSE,"Parking Budget";#N/A,#N/A,FALSE,"Parking Cash Flow";#N/A,#N/A,FALSE,"Parking Assumptions";#N/A,#N/A,FALSE,"Bond Debt Service";#N/A,#N/A,FALSE,"Pad Fees";#N/A,#N/A,FALSE,"Bond Shortfall";#N/A,#N/A,FALSE,"Retail Development Budget";#N/A,#N/A,FALSE,"Retail Cash Flow";#N/A,#N/A,FALSE,"Retail Assumptions Summary";#N/A,#N/A,FALSE,"Office Development Budget";#N/A,#N/A,FALSE,"Office Cash Flow";#N/A,#N/A,FALSE,"Office Assumptions";#N/A,#N/A,FALSE,"Hotel Development Budget";#N/A,#N/A,FALSE,"Hotel Cash Flow";#N/A,#N/A,FALSE,"Land Lease NPV"}</definedName>
    <definedName name="kill4" hidden="1">{#N/A,#N/A,FALSE,"Project Summary";#N/A,#N/A,FALSE,"Parking Budget";#N/A,#N/A,FALSE,"Parking Cash Flow";#N/A,#N/A,FALSE,"Parking Assumptions";#N/A,#N/A,FALSE,"Bond Debt Service";#N/A,#N/A,FALSE,"Pad Fees";#N/A,#N/A,FALSE,"Bond Shortfall";#N/A,#N/A,FALSE,"Retail Development Budget";#N/A,#N/A,FALSE,"Retail Cash Flow";#N/A,#N/A,FALSE,"Retail Assumptions Summary";#N/A,#N/A,FALSE,"Office Development Budget";#N/A,#N/A,FALSE,"Office Cash Flow";#N/A,#N/A,FALSE,"Office Assumptions";#N/A,#N/A,FALSE,"Hotel Development Budget";#N/A,#N/A,FALSE,"Hotel Cash Flow";#N/A,#N/A,FALSE,"Land Lease NPV"}</definedName>
    <definedName name="kjj" localSheetId="11" hidden="1">binary</definedName>
    <definedName name="kjj" hidden="1">binary</definedName>
    <definedName name="kjjjjkjhk" localSheetId="11" hidden="1">{"sheet a",#N/A,FALSE,"A";"sheet b 1",#N/A,FALSE,"B";"sheet b 2",#N/A,FALSE,"B"}</definedName>
    <definedName name="kjjjjkjhk" hidden="1">{"sheet a",#N/A,FALSE,"A";"sheet b 1",#N/A,FALSE,"B";"sheet b 2",#N/A,FALSE,"B"}</definedName>
    <definedName name="kk" localSheetId="11" hidden="1">{"Main",#N/A,FALSE,"Wacker";"Main2",#N/A,FALSE,"Wacker";"Value",#N/A,FALSE,"Wacker";"Sensitivity",#N/A,FALSE,"Wacker";"Paine",#N/A,FALSE,"Wacker";"Quaker",#N/A,FALSE,"Wacker";"Wacker",#N/A,FALSE,"Wacker";"1900",#N/A,FALSE,"Wacker";"1901",#N/A,FALSE,"Wacker"}</definedName>
    <definedName name="kk" hidden="1">{"Main",#N/A,FALSE,"Wacker";"Main2",#N/A,FALSE,"Wacker";"Value",#N/A,FALSE,"Wacker";"Sensitivity",#N/A,FALSE,"Wacker";"Paine",#N/A,FALSE,"Wacker";"Quaker",#N/A,FALSE,"Wacker";"Wacker",#N/A,FALSE,"Wacker";"1900",#N/A,FALSE,"Wacker";"1901",#N/A,FALSE,"Wacker"}</definedName>
    <definedName name="kyd.ChngCell.01." hidden="1">#REF!</definedName>
    <definedName name="kyd.CounterLimitCell.01." hidden="1">"x"</definedName>
    <definedName name="kyd.Dim.01." hidden="1">"toad:Company"</definedName>
    <definedName name="kyd.ElementList.01." hidden="1">#REF!</definedName>
    <definedName name="kyd.ElementType.01." hidden="1">3</definedName>
    <definedName name="kyd.ItemType.01." hidden="1">2</definedName>
    <definedName name="kyd.MacroAtEnd." hidden="1">""</definedName>
    <definedName name="kyd.MacroEachCycle." hidden="1">""</definedName>
    <definedName name="kyd.MacroEndOfEachCycle." hidden="1">""</definedName>
    <definedName name="kyd.NumLevels.01." hidden="1">999</definedName>
    <definedName name="kyd.PanicStop." hidden="1">FALSE</definedName>
    <definedName name="kyd.ParentName.01." hidden="1">""</definedName>
    <definedName name="kyd.PreScreenData." hidden="1">FALSE</definedName>
    <definedName name="kyd.PrintParent.01." hidden="1">TRUE</definedName>
    <definedName name="kyd.PrintStdWhen." hidden="1">1</definedName>
    <definedName name="kyd.SaveAsFile." hidden="1">FALSE</definedName>
    <definedName name="kyd.SelectString.01." hidden="1">"*"</definedName>
    <definedName name="kyd.StdSortHide." hidden="1">FALSE</definedName>
    <definedName name="Lender_Table">OFFSET([2]Capex!$U$2,0,0,COUNTA([2]Capex!$V:$V),7)</definedName>
    <definedName name="limcount" hidden="1">1</definedName>
    <definedName name="lll" localSheetId="11" hidden="1">{"Outflow 1",#N/A,FALSE,"Outflows-Inflows";"Outflow 2",#N/A,FALSE,"Outflows-Inflows";"Inflow 1",#N/A,FALSE,"Outflows-Inflows";"Inflow 2",#N/A,FALSE,"Outflows-Inflows"}</definedName>
    <definedName name="lll" hidden="1">{"Outflow 1",#N/A,FALSE,"Outflows-Inflows";"Outflow 2",#N/A,FALSE,"Outflows-Inflows";"Inflow 1",#N/A,FALSE,"Outflows-Inflows";"Inflow 2",#N/A,FALSE,"Outflows-Inflows"}</definedName>
    <definedName name="Loan_Amount">#REF!</definedName>
    <definedName name="Loan_Start">#REF!</definedName>
    <definedName name="Loan_Years">#REF!</definedName>
    <definedName name="LoanBal32">#REF!</definedName>
    <definedName name="LoanBalConst">#REF!</definedName>
    <definedName name="LoanOptions">#REF!</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PCF1" localSheetId="11">#REF!</definedName>
    <definedName name="LPCF1">#REF!</definedName>
    <definedName name="LPCF2" localSheetId="11">#REF!</definedName>
    <definedName name="LPCF2">#REF!</definedName>
    <definedName name="LPCF3" localSheetId="11">#REF!</definedName>
    <definedName name="LPCF3">#REF!</definedName>
    <definedName name="LPCF4">#REF!</definedName>
    <definedName name="LPEQUITY">#REF!</definedName>
    <definedName name="ltm_BalanceSheet" hidden="1">#REF!</definedName>
    <definedName name="ltm_IncomeStatement" hidden="1">#REF!</definedName>
    <definedName name="LTV">#REF!</definedName>
    <definedName name="MANAGEMENTFEEPERCENT">'[1]Tax &amp; Management'!$C$18</definedName>
    <definedName name="matrix" localSheetId="11"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matrix"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MEWarning" hidden="1">1</definedName>
    <definedName name="MEZZDEBT">[1]Summary!$E$31</definedName>
    <definedName name="MEZZENDINGMONTH">[1]Summary!$E$35</definedName>
    <definedName name="MEZZRATE">[1]Summary!$E$33</definedName>
    <definedName name="MEZZSTARTINGMONTH">[1]Summary!$E$34</definedName>
    <definedName name="MGHM"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GHM"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hj"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hj"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ILLAGERATE">'[1]Tax &amp; Management'!$C$23</definedName>
    <definedName name="mm" localSheetId="11"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mm"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mmm" localSheetId="11" hidden="1">{"View1",#N/A,FALSE,"Sheet1";"View2",#N/A,FALSE,"Sheet1"}</definedName>
    <definedName name="mmm" hidden="1">{"View1",#N/A,FALSE,"Sheet1";"View2",#N/A,FALSE,"Sheet1"}</definedName>
    <definedName name="mmmmm" hidden="1">#REF!</definedName>
    <definedName name="new_order1" hidden="1">255</definedName>
    <definedName name="newhtml" localSheetId="11" hidden="1">{"'Assump'!$F$6:$J$6"}</definedName>
    <definedName name="newhtml" hidden="1">{"'Assump'!$F$6:$J$6"}</definedName>
    <definedName name="Num_Pmt_Per_Year">#REF!</definedName>
    <definedName name="o"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o" hidden="1">{TRUE,TRUE,-1.25,-15.5,604.5,369,FALSE,FALSE,TRUE,TRUE,0,1,83,1,38,4,5,4,TRUE,TRUE,3,TRUE,1,TRUE,75,"Swvu.inputs._.raw._.data.","ACwvu.inputs._.raw._.data.",#N/A,FALSE,FALSE,0.5,0.5,0.5,0.5,2,"&amp;F","&amp;A&amp;RPage &amp;P",FALSE,FALSE,FALSE,FALSE,1,60,#N/A,#N/A,"=R1C61:R53C89","=C1:C5",#N/A,#N/A,FALSE,FALSE,FALSE,1,600,600,FALSE,FALSE,TRUE,TRUE,TRUE}</definedName>
    <definedName name="oldhtl" localSheetId="11" hidden="1">{"'Assump'!$F$6:$J$6"}</definedName>
    <definedName name="oldhtl" hidden="1">{"'Assump'!$F$6:$J$6"}</definedName>
    <definedName name="Oldtable" hidden="1">#REF!</definedName>
    <definedName name="oldtable1" hidden="1">#REF!</definedName>
    <definedName name="ORDER" hidden="1">0</definedName>
    <definedName name="p" localSheetId="11" hidden="1">{"summary1",#N/A,TRUE,"Comps";"summary2",#N/A,TRUE,"Comps";"summary3",#N/A,TRUE,"Comps"}</definedName>
    <definedName name="p" hidden="1">{"summary1",#N/A,TRUE,"Comps";"summary2",#N/A,TRUE,"Comps";"summary3",#N/A,TRUE,"Comps"}</definedName>
    <definedName name="p.Covenants" hidden="1">#REF!</definedName>
    <definedName name="p.Covenants_Titles" hidden="1">#REF!</definedName>
    <definedName name="p.CreditStats" hidden="1">#REF!</definedName>
    <definedName name="p.LTM_BS" hidden="1">#REF!</definedName>
    <definedName name="p.LTM_IS" hidden="1">#REF!</definedName>
    <definedName name="p.Summary" hidden="1">#REF!</definedName>
    <definedName name="p.Summary_Titles" hidden="1">#REF!</definedName>
    <definedName name="Pay_Date">#REF!</definedName>
    <definedName name="Pay_Num">#REF!</definedName>
    <definedName name="PERCENTOFVALUEASSESSED">'[1]Tax &amp; Management'!$C$25</definedName>
    <definedName name="Pref" localSheetId="11">Waterfall!$I$6</definedName>
    <definedName name="Pref" localSheetId="9">#REF!</definedName>
    <definedName name="Pref" localSheetId="16">#REF!</definedName>
    <definedName name="Pref">Waterfall!$I$6</definedName>
    <definedName name="PREFEQUITY">[1]Summary!$E$39</definedName>
    <definedName name="PREFEQUITYENDMONTH">[1]Summary!$E$44</definedName>
    <definedName name="PREFEQUITYRATE">[1]Summary!$E$40</definedName>
    <definedName name="PREFEQUITYSTARTMONTH">[1]Summary!$E$43</definedName>
    <definedName name="Preferred_Return">#REF!</definedName>
    <definedName name="PREFERREDRETURN">#REF!</definedName>
    <definedName name="PREFRETURN">#REF!</definedName>
    <definedName name="priceperunit">#REF!</definedName>
    <definedName name="Princ">#REF!</definedName>
    <definedName name="Print" localSheetId="11" hidden="1">{#N/A,#N/A,TRUE,"Cover";#N/A,#N/A,TRUE,"Stack";#N/A,#N/A,TRUE,"Cost S";#N/A,#N/A,TRUE,"Financing";#N/A,#N/A,TRUE," CF";#N/A,#N/A,TRUE,"CF Mnthly";#N/A,#N/A,TRUE,"CF assum";#N/A,#N/A,TRUE,"Unit Sales";#N/A,#N/A,TRUE,"REV";#N/A,#N/A,TRUE,"Bdgt Backup"}</definedName>
    <definedName name="Print" hidden="1">{#N/A,#N/A,TRUE,"Cover";#N/A,#N/A,TRUE,"Stack";#N/A,#N/A,TRUE,"Cost S";#N/A,#N/A,TRUE,"Financing";#N/A,#N/A,TRUE," CF";#N/A,#N/A,TRUE,"CF Mnthly";#N/A,#N/A,TRUE,"CF assum";#N/A,#N/A,TRUE,"Unit Sales";#N/A,#N/A,TRUE,"REV";#N/A,#N/A,TRUE,"Bdgt Backup"}</definedName>
    <definedName name="_xlnm.Print_Area" localSheetId="11">'7acres Schedule'!$A$1:$H$44</definedName>
    <definedName name="_xlnm.Print_Area" localSheetId="21">'Preferred Equity'!$B$1:$P$29</definedName>
    <definedName name="_xlnm.Print_Area" localSheetId="17">Y1Budget!$A$1:$N$31</definedName>
    <definedName name="Print2" localSheetId="11" hidden="1">{#N/A,#N/A,FALSE,"Cover";#N/A,#N/A,FALSE,"Stack";#N/A,#N/A,FALSE,"Cost S";#N/A,#N/A,FALSE," CF";#N/A,#N/A,FALSE,"Investor"}</definedName>
    <definedName name="Print2" hidden="1">{#N/A,#N/A,FALSE,"Cover";#N/A,#N/A,FALSE,"Stack";#N/A,#N/A,FALSE,"Cost S";#N/A,#N/A,FALSE," CF";#N/A,#N/A,FALSE,"Investor"}</definedName>
    <definedName name="PRINTA">#REF!</definedName>
    <definedName name="PRINTALL">#REF!</definedName>
    <definedName name="PRINTAREA" hidden="1">#REF!</definedName>
    <definedName name="PRINTB">#REF!</definedName>
    <definedName name="PRINTC">#REF!</definedName>
    <definedName name="PRINTD">#REF!</definedName>
    <definedName name="PRINTDEPR">#REF!</definedName>
    <definedName name="PRINTL">#REF!</definedName>
    <definedName name="PRINTU">#REF!</definedName>
    <definedName name="Profit" hidden="1">#REF!</definedName>
    <definedName name="ProjectInformation">#REF!</definedName>
    <definedName name="Promote_Structure">#REF!</definedName>
    <definedName name="PROMOTE1">#REF!</definedName>
    <definedName name="PROMOTE2">#REF!</definedName>
    <definedName name="PROMOTE3">#REF!</definedName>
    <definedName name="PROMOTE4">#REF!</definedName>
    <definedName name="PUB_FileID" hidden="1">"L10003363.xls"</definedName>
    <definedName name="PUB_UserID" hidden="1">"MAYERX"</definedName>
    <definedName name="PURCHASEPRICE">[1]Summary!$B$35</definedName>
    <definedName name="q" localSheetId="11" hidden="1">{"summary1",#N/A,TRUE,"Comps";"summary2",#N/A,TRUE,"Comps";"summary3",#N/A,TRUE,"Comps"}</definedName>
    <definedName name="q" hidden="1">{"summary1",#N/A,TRUE,"Comps";"summary2",#N/A,TRUE,"Comps";"summary3",#N/A,TRUE,"Comps"}</definedName>
    <definedName name="qre"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qre" hidden="1">{TRUE,TRUE,-1.25,-15.5,604.5,369,FALSE,FALSE,TRUE,TRUE,0,1,83,1,38,4,5,4,TRUE,TRUE,3,TRUE,1,TRUE,75,"Swvu.inputs._.raw._.data.","ACwvu.inputs._.raw._.data.",#N/A,FALSE,FALSE,0.5,0.5,0.5,0.5,2,"&amp;F","&amp;A&amp;RPage &amp;P",FALSE,FALSE,FALSE,FALSE,1,60,#N/A,#N/A,"=R1C61:R53C89","=C1:C5",#N/A,#N/A,FALSE,FALSE,FALSE,1,600,600,FALSE,FALSE,TRUE,TRUE,TRUE}</definedName>
    <definedName name="qwert"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wert"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r.CashFlow" hidden="1">#REF!</definedName>
    <definedName name="r.Leverage" hidden="1">#REF!</definedName>
    <definedName name="r.Liquidity" hidden="1">#REF!</definedName>
    <definedName name="r.LTM" hidden="1">#REF!</definedName>
    <definedName name="r.LTMInterim" hidden="1">#REF!</definedName>
    <definedName name="r.Market" hidden="1">#REF!</definedName>
    <definedName name="r.Profitability" hidden="1">#REF!</definedName>
    <definedName name="r.Summary" hidden="1">#REF!</definedName>
    <definedName name="Radnor" localSheetId="11" hidden="1">binary</definedName>
    <definedName name="Radnor" hidden="1">binary</definedName>
    <definedName name="re" localSheetId="11" hidden="1">#REF!</definedName>
    <definedName name="re" hidden="1">#REF!</definedName>
    <definedName name="REFIAMORT">[1]Summary!$E$27</definedName>
    <definedName name="REFIFEE">[1]Summary!$E$26</definedName>
    <definedName name="REFIIOPERIOD">[1]Summary!$E$25</definedName>
    <definedName name="REFILOANAMOUNT">[1]Summary!$E$21</definedName>
    <definedName name="REFILTV">[1]Summary!$E$20</definedName>
    <definedName name="REFIMONTH">[1]Summary!$E$15</definedName>
    <definedName name="REFIRATE">[1]Summary!$E$24</definedName>
    <definedName name="report" localSheetId="11" hidden="1">{#N/A,#N/A,FALSE,"Summary";#N/A,#N/A,FALSE,"Assumptions";#N/A,#N/A,FALSE,"Cash Flow";#N/A,#N/A,FALSE,"Residual Calculation";#N/A,#N/A,FALSE,"Pricing Matrix";#N/A,#N/A,FALSE,"Pricing Matrix II";#N/A,#N/A,FALSE,"Expiration Schedule"}</definedName>
    <definedName name="report" hidden="1">{#N/A,#N/A,FALSE,"Summary";#N/A,#N/A,FALSE,"Assumptions";#N/A,#N/A,FALSE,"Cash Flow";#N/A,#N/A,FALSE,"Residual Calculation";#N/A,#N/A,FALSE,"Pricing Matrix";#N/A,#N/A,FALSE,"Pricing Matrix II";#N/A,#N/A,FALSE,"Expiration Schedule"}</definedName>
    <definedName name="report1" localSheetId="11" hidden="1">{#N/A,#N/A,FALSE,"Summary";#N/A,#N/A,FALSE,"Assumptions";#N/A,#N/A,FALSE,"Cash Flow";#N/A,#N/A,FALSE,"Residual Calculation";#N/A,#N/A,FALSE,"Pricing Matrix";#N/A,#N/A,FALSE,"Pricing Matrix II";#N/A,#N/A,FALSE,"Expiration Schedule"}</definedName>
    <definedName name="report1" hidden="1">{#N/A,#N/A,FALSE,"Summary";#N/A,#N/A,FALSE,"Assumptions";#N/A,#N/A,FALSE,"Cash Flow";#N/A,#N/A,FALSE,"Residual Calculation";#N/A,#N/A,FALSE,"Pricing Matrix";#N/A,#N/A,FALSE,"Pricing Matrix II";#N/A,#N/A,FALSE,"Expiration Schedule"}</definedName>
    <definedName name="report5" localSheetId="11" hidden="1">{#N/A,#N/A,FALSE,"Summary";#N/A,#N/A,FALSE,"Assumptions";#N/A,#N/A,FALSE,"Cash Flow";#N/A,#N/A,FALSE,"Residual Calculation";#N/A,#N/A,FALSE,"Pricing Matrix";#N/A,#N/A,FALSE,"Pricing Matrix II";#N/A,#N/A,FALSE,"Expiration Schedule"}</definedName>
    <definedName name="report5" hidden="1">{#N/A,#N/A,FALSE,"Summary";#N/A,#N/A,FALSE,"Assumptions";#N/A,#N/A,FALSE,"Cash Flow";#N/A,#N/A,FALSE,"Residual Calculation";#N/A,#N/A,FALSE,"Pricing Matrix";#N/A,#N/A,FALSE,"Pricing Matrix II";#N/A,#N/A,FALSE,"Expiration Schedule"}</definedName>
    <definedName name="RESERVEPAYBACKMONTH">'[1]Closing Costs'!#REF!</definedName>
    <definedName name="Residu" localSheetId="11" hidden="1">{#N/A,#N/A,TRUE,"Summary";"AnnualRentRoll",#N/A,TRUE,"RentRoll";#N/A,#N/A,TRUE,"ExitStratigy";#N/A,#N/A,TRUE,"OperatingAssumptions"}</definedName>
    <definedName name="Residu" hidden="1">{#N/A,#N/A,TRUE,"Summary";"AnnualRentRoll",#N/A,TRUE,"RentRoll";#N/A,#N/A,TRUE,"ExitStratigy";#N/A,#N/A,TRUE,"OperatingAssumptions"}</definedName>
    <definedName name="ResRev">#REF!</definedName>
    <definedName name="ResRev10">#REF!</definedName>
    <definedName name="ResRev11">#REF!</definedName>
    <definedName name="ResRev12">#REF!</definedName>
    <definedName name="ResRev13">#REF!</definedName>
    <definedName name="ResRev14">#REF!</definedName>
    <definedName name="ResRev15">#REF!</definedName>
    <definedName name="ResRev16">#REF!</definedName>
    <definedName name="ResRev17">#REF!</definedName>
    <definedName name="ResRev3">#REF!</definedName>
    <definedName name="ResRev4">#REF!</definedName>
    <definedName name="ResRev5">#REF!</definedName>
    <definedName name="ResRev6">#REF!</definedName>
    <definedName name="ResRev7">#REF!</definedName>
    <definedName name="ResRev8">#REF!</definedName>
    <definedName name="ResRev9">#REF!</definedName>
    <definedName name="Rock2" localSheetId="11" hidden="1">{"LBO Summary",#N/A,FALSE,"Summary";"Income Statement",#N/A,FALSE,"Model";"Cash Flow",#N/A,FALSE,"Model";"Balance Sheet",#N/A,FALSE,"Model";"Working Capital",#N/A,FALSE,"Model";"Pro Forma Balance Sheets",#N/A,FALSE,"PFBS";"Debt Balances",#N/A,FALSE,"Model";"Fee Schedules",#N/A,FALSE,"Model"}</definedName>
    <definedName name="Rock2" hidden="1">{"LBO Summary",#N/A,FALSE,"Summary";"Income Statement",#N/A,FALSE,"Model";"Cash Flow",#N/A,FALSE,"Model";"Balance Sheet",#N/A,FALSE,"Model";"Working Capital",#N/A,FALSE,"Model";"Pro Forma Balance Sheets",#N/A,FALSE,"PFBS";"Debt Balances",#N/A,FALSE,"Model";"Fee Schedules",#N/A,FALSE,"Model"}</definedName>
    <definedName name="Rockwell" localSheetId="11" hidden="1">{"LBO Summary",#N/A,FALSE,"Summary"}</definedName>
    <definedName name="Rockwell" hidden="1">{"LBO Summary",#N/A,FALSE,"Summary"}</definedName>
    <definedName name="RPA" localSheetId="11" hidden="1">{#N/A,#N/A,FALSE,"Cashflow Analysis";#N/A,#N/A,FALSE,"Sensitivity Analysis";#N/A,#N/A,FALSE,"PV";#N/A,#N/A,FALSE,"Pro Forma"}</definedName>
    <definedName name="RPA" hidden="1">{#N/A,#N/A,FALSE,"Cashflow Analysis";#N/A,#N/A,FALSE,"Sensitivity Analysis";#N/A,#N/A,FALSE,"PV";#N/A,#N/A,FALSE,"Pro Forma"}</definedName>
    <definedName name="RPA.2" localSheetId="11" hidden="1">{#N/A,#N/A,FALSE,"Cashflow Analysis";#N/A,#N/A,FALSE,"Sensitivity Analysis";#N/A,#N/A,FALSE,"PV";#N/A,#N/A,FALSE,"Pro Forma"}</definedName>
    <definedName name="RPA.2" hidden="1">{#N/A,#N/A,FALSE,"Cashflow Analysis";#N/A,#N/A,FALSE,"Sensitivity Analysis";#N/A,#N/A,FALSE,"PV";#N/A,#N/A,FALSE,"Pro Forma"}</definedName>
    <definedName name="rt" localSheetId="11" hidden="1">{"inputs raw data",#N/A,TRUE,"INPUT"}</definedName>
    <definedName name="rt" hidden="1">{"inputs raw data",#N/A,TRUE,"INPUT"}</definedName>
    <definedName name="sa" localSheetId="11" hidden="1">{"cap_structure",#N/A,FALSE,"Graph-Mkt Cap";"price",#N/A,FALSE,"Graph-Price";"ebit",#N/A,FALSE,"Graph-EBITDA";"ebitda",#N/A,FALSE,"Graph-EBITDA"}</definedName>
    <definedName name="sa" hidden="1">{"cap_structure",#N/A,FALSE,"Graph-Mkt Cap";"price",#N/A,FALSE,"Graph-Price";"ebit",#N/A,FALSE,"Graph-EBITDA";"ebitda",#N/A,FALSE,"Graph-EBITDA"}</definedName>
    <definedName name="saa" localSheetId="11" hidden="1">{"rtn",#N/A,FALSE,"RTN";"tables",#N/A,FALSE,"RTN";"cf",#N/A,FALSE,"CF";"stats",#N/A,FALSE,"Stats";"prop",#N/A,FALSE,"Prop"}</definedName>
    <definedName name="saa" hidden="1">{"rtn",#N/A,FALSE,"RTN";"tables",#N/A,FALSE,"RTN";"cf",#N/A,FALSE,"CF";"stats",#N/A,FALSE,"Stats";"prop",#N/A,FALSE,"Prop"}</definedName>
    <definedName name="sadd" localSheetId="11" hidden="1">{"MonthlyRentRoll",#N/A,FALSE,"RentRoll"}</definedName>
    <definedName name="sadd" hidden="1">{"MonthlyRentRoll",#N/A,FALSE,"RentRoll"}</definedName>
    <definedName name="sadd1" localSheetId="11" hidden="1">{"MonthlyRentRoll",#N/A,FALSE,"RentRoll"}</definedName>
    <definedName name="sadd1" hidden="1">{"MonthlyRentRoll",#N/A,FALSE,"RentRoll"}</definedName>
    <definedName name="sadd2" localSheetId="11" hidden="1">{"MonthlyRentRoll",#N/A,FALSE,"RentRoll"}</definedName>
    <definedName name="sadd2" hidden="1">{"MonthlyRentRoll",#N/A,FALSE,"RentRoll"}</definedName>
    <definedName name="saddd" localSheetId="11" hidden="1">{"AnnualRentRoll",#N/A,FALSE,"RentRoll"}</definedName>
    <definedName name="saddd" hidden="1">{"AnnualRentRoll",#N/A,FALSE,"RentRoll"}</definedName>
    <definedName name="saddd2" localSheetId="11" hidden="1">{"AnnualRentRoll",#N/A,FALSE,"RentRoll"}</definedName>
    <definedName name="saddd2" hidden="1">{"AnnualRentRoll",#N/A,FALSE,"RentRoll"}</definedName>
    <definedName name="sadddd2" localSheetId="11" hidden="1">{"AnnualRentRoll",#N/A,FALSE,"RentRoll"}</definedName>
    <definedName name="sadddd2" hidden="1">{"AnnualRentRoll",#N/A,FALSE,"RentRoll"}</definedName>
    <definedName name="saddddd" localSheetId="11" hidden="1">{"AnnualRentRoll",#N/A,FALSE,"RentRoll"}</definedName>
    <definedName name="saddddd" hidden="1">{"AnnualRentRoll",#N/A,FALSE,"RentRoll"}</definedName>
    <definedName name="saddddddd2" localSheetId="11" hidden="1">{#N/A,#N/A,FALSE,"ExitStratigy"}</definedName>
    <definedName name="saddddddd2" hidden="1">{#N/A,#N/A,FALSE,"ExitStratigy"}</definedName>
    <definedName name="sadddddddd" localSheetId="11" hidden="1">{#N/A,#N/A,FALSE,"ExitStratigy"}</definedName>
    <definedName name="sadddddddd" hidden="1">{#N/A,#N/A,FALSE,"ExitStratigy"}</definedName>
    <definedName name="saddddddddd2" localSheetId="11" hidden="1">{#N/A,#N/A,FALSE,"LoanAssumptions"}</definedName>
    <definedName name="saddddddddd2" hidden="1">{#N/A,#N/A,FALSE,"LoanAssumptions"}</definedName>
    <definedName name="sadddddddddd" localSheetId="11" hidden="1">{#N/A,#N/A,FALSE,"LoanAssumptions"}</definedName>
    <definedName name="sadddddddddd" hidden="1">{#N/A,#N/A,FALSE,"LoanAssumptions"}</definedName>
    <definedName name="saddddddddddd2" localSheetId="11" hidden="1">{#N/A,#N/A,FALSE,"OperatingAssumptions"}</definedName>
    <definedName name="saddddddddddd2" hidden="1">{#N/A,#N/A,FALSE,"OperatingAssumptions"}</definedName>
    <definedName name="saddddddddddddd" localSheetId="11" hidden="1">{#N/A,#N/A,FALSE,"OperatingAssumptions"}</definedName>
    <definedName name="saddddddddddddd" hidden="1">{#N/A,#N/A,FALSE,"OperatingAssumptions"}</definedName>
    <definedName name="sadsadsa" localSheetId="11" hidden="1">{"'Assump'!$F$6:$J$6"}</definedName>
    <definedName name="sadsadsa" hidden="1">{"'Assump'!$F$6:$J$6"}</definedName>
    <definedName name="sagf"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sagf" hidden="1">{TRUE,TRUE,-1.25,-15.5,604.5,369,FALSE,FALSE,TRUE,TRUE,0,1,83,1,38,4,5,4,TRUE,TRUE,3,TRUE,1,TRUE,75,"Swvu.inputs._.raw._.data.","ACwvu.inputs._.raw._.data.",#N/A,FALSE,FALSE,0.5,0.5,0.5,0.5,2,"&amp;F","&amp;A&amp;RPage &amp;P",FALSE,FALSE,FALSE,FALSE,1,60,#N/A,#N/A,"=R1C61:R53C89","=C1:C5",#N/A,#N/A,FALSE,FALSE,FALSE,1,600,600,FALSE,FALSE,TRUE,TRUE,TRUE}</definedName>
    <definedName name="SALEMONTH">#REF!</definedName>
    <definedName name="sas" localSheetId="11" hidden="1">{"Outflow 1",#N/A,FALSE,"Outflows-Inflows";"Outflow 2",#N/A,FALSE,"Outflows-Inflows";"Inflow 1",#N/A,FALSE,"Outflows-Inflows";"Inflow 2",#N/A,FALSE,"Outflows-Inflows"}</definedName>
    <definedName name="sas" hidden="1">{"Outflow 1",#N/A,FALSE,"Outflows-Inflows";"Outflow 2",#N/A,FALSE,"Outflows-Inflows";"Inflow 1",#N/A,FALSE,"Outflows-Inflows";"Inflow 2",#N/A,FALSE,"Outflows-Inflows"}</definedName>
    <definedName name="Sched_Pay">#REF!</definedName>
    <definedName name="Scheduled_Extra_Payments">#REF!</definedName>
    <definedName name="Scheduled_Interest_Rate">#REF!</definedName>
    <definedName name="Scheduled_Monthly_Payment">#REF!</definedName>
    <definedName name="sdcds" localSheetId="11" hidden="1">{"'Assump'!$F$6:$J$6"}</definedName>
    <definedName name="sdcds" hidden="1">{"'Assump'!$F$6:$J$6"}</definedName>
    <definedName name="sdfass" localSheetId="11" hidden="1">{"Outflow 1",#N/A,FALSE,"Outflows-Inflows";"Outflow 2",#N/A,FALSE,"Outflows-Inflows";"Inflow 1",#N/A,FALSE,"Outflows-Inflows";"Inflow 2",#N/A,FALSE,"Outflows-Inflows"}</definedName>
    <definedName name="sdfass" hidden="1">{"Outflow 1",#N/A,FALSE,"Outflows-Inflows";"Outflow 2",#N/A,FALSE,"Outflows-Inflows";"Inflow 1",#N/A,FALSE,"Outflows-Inflows";"Inflow 2",#N/A,FALSE,"Outflows-Inflows"}</definedName>
    <definedName name="sdfg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sdfga" hidden="1">{TRUE,TRUE,-1.25,-15.5,604.5,369,FALSE,FALSE,TRUE,TRUE,0,1,83,1,38,4,5,4,TRUE,TRUE,3,TRUE,1,TRUE,75,"Swvu.inputs._.raw._.data.","ACwvu.inputs._.raw._.data.",#N/A,FALSE,FALSE,0.5,0.5,0.5,0.5,2,"&amp;F","&amp;A&amp;RPage &amp;P",FALSE,FALSE,FALSE,FALSE,1,60,#N/A,#N/A,"=R1C61:R53C89","=C1:C5",#N/A,#N/A,FALSE,FALSE,FALSE,1,600,600,FALSE,FALSE,TRUE,TRUE,TRUE}</definedName>
    <definedName name="Seg_LBO_Summ" localSheetId="11" hidden="1">{"LBO Summary",#N/A,FALSE,"Summary"}</definedName>
    <definedName name="Seg_LBO_Summ" hidden="1">{"LBO Summary",#N/A,FALSE,"Summary"}</definedName>
    <definedName name="sencount" hidden="1">1</definedName>
    <definedName name="shit" localSheetId="11" hidden="1">{#N/A,"Base",FALSE,"Dividend";#N/A,"Conservative",FALSE,"Dividend";#N/A,"Downside",FALSE,"Dividend"}</definedName>
    <definedName name="shit" hidden="1">{#N/A,"Base",FALSE,"Dividend";#N/A,"Conservative",FALSE,"Dividend";#N/A,"Downside",FALSE,"Dividend"}</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hidden="1">#REF!</definedName>
    <definedName name="solver_lhs10" hidden="1">#REF!</definedName>
    <definedName name="solver_lhs11" hidden="1">#REF!</definedName>
    <definedName name="solver_lhs12" hidden="1">#REF!</definedName>
    <definedName name="solver_lhs13" hidden="1">#REF!</definedName>
    <definedName name="solver_lhs14" hidden="1">#REF!</definedName>
    <definedName name="solver_lhs15" hidden="1">#REF!</definedName>
    <definedName name="solver_lhs16" hidden="1">#REF!</definedName>
    <definedName name="solver_lhs17" hidden="1">#REF!</definedName>
    <definedName name="solver_lhs18" hidden="1">#REF!</definedName>
    <definedName name="solver_lhs19" hidden="1">#REF!</definedName>
    <definedName name="solver_lhs2" hidden="1">#REF!</definedName>
    <definedName name="solver_lhs20" hidden="1">#REF!</definedName>
    <definedName name="solver_lhs21" hidden="1">#REF!</definedName>
    <definedName name="solver_lhs22" hidden="1">#REF!</definedName>
    <definedName name="solver_lhs23" hidden="1">#REF!</definedName>
    <definedName name="solver_lhs24" hidden="1">#REF!</definedName>
    <definedName name="solver_lhs25" hidden="1">#REF!</definedName>
    <definedName name="solver_lhs26" hidden="1">#REF!</definedName>
    <definedName name="solver_lhs27" hidden="1">#REF!</definedName>
    <definedName name="solver_lhs28" hidden="1">#REF!</definedName>
    <definedName name="solver_lhs29" hidden="1">#REF!</definedName>
    <definedName name="solver_lhs3" hidden="1">#REF!</definedName>
    <definedName name="solver_lhs30" hidden="1">#REF!</definedName>
    <definedName name="solver_lhs31" hidden="1">#REF!</definedName>
    <definedName name="solver_lhs32" hidden="1">#REF!</definedName>
    <definedName name="solver_lhs33" hidden="1">#REF!</definedName>
    <definedName name="solver_lhs34" hidden="1">#REF!</definedName>
    <definedName name="solver_lhs35" hidden="1">#REF!</definedName>
    <definedName name="solver_lhs36" hidden="1">#REF!</definedName>
    <definedName name="solver_lhs37" hidden="1">#REF!</definedName>
    <definedName name="solver_lhs38" hidden="1">#REF!</definedName>
    <definedName name="solver_lhs39" hidden="1">#REF!</definedName>
    <definedName name="solver_lhs4" hidden="1">#REF!</definedName>
    <definedName name="solver_lhs40" hidden="1">#REF!</definedName>
    <definedName name="solver_lhs41" hidden="1">#REF!</definedName>
    <definedName name="solver_lhs42" hidden="1">#REF!</definedName>
    <definedName name="solver_lhs43" hidden="1">#REF!</definedName>
    <definedName name="solver_lhs44" hidden="1">#REF!</definedName>
    <definedName name="solver_lhs45" hidden="1">#REF!</definedName>
    <definedName name="solver_lhs46" hidden="1">#REF!</definedName>
    <definedName name="solver_lhs47" hidden="1">#REF!</definedName>
    <definedName name="solver_lhs48" hidden="1">#REF!</definedName>
    <definedName name="solver_lhs49" hidden="1">#REF!</definedName>
    <definedName name="solver_lhs5" hidden="1">#REF!</definedName>
    <definedName name="solver_lhs50" hidden="1">#REF!</definedName>
    <definedName name="solver_lhs51" hidden="1">#REF!</definedName>
    <definedName name="solver_lhs52" hidden="1">#REF!</definedName>
    <definedName name="solver_lhs53" hidden="1">#REF!</definedName>
    <definedName name="solver_lhs54" hidden="1">#REF!</definedName>
    <definedName name="solver_lhs55" hidden="1">#REF!</definedName>
    <definedName name="solver_lhs56" hidden="1">#REF!</definedName>
    <definedName name="solver_lhs57" hidden="1">#REF!</definedName>
    <definedName name="solver_lhs58" hidden="1">#REF!</definedName>
    <definedName name="solver_lhs59" hidden="1">#REF!</definedName>
    <definedName name="solver_lhs6" hidden="1">#REF!</definedName>
    <definedName name="solver_lhs60" hidden="1">#REF!</definedName>
    <definedName name="solver_lhs61" hidden="1">#REF!</definedName>
    <definedName name="solver_lhs62" hidden="1">#REF!</definedName>
    <definedName name="solver_lhs63" hidden="1">#REF!</definedName>
    <definedName name="solver_lhs64" hidden="1">#REF!</definedName>
    <definedName name="solver_lhs65" hidden="1">#REF!</definedName>
    <definedName name="solver_lhs66" hidden="1">#REF!</definedName>
    <definedName name="solver_lhs67" hidden="1">#REF!</definedName>
    <definedName name="solver_lhs68" hidden="1">#REF!</definedName>
    <definedName name="solver_lhs69" hidden="1">#REF!</definedName>
    <definedName name="solver_lhs7" hidden="1">#REF!</definedName>
    <definedName name="solver_lhs70" hidden="1">#REF!</definedName>
    <definedName name="solver_lhs71" hidden="1">#REF!</definedName>
    <definedName name="solver_lhs72" hidden="1">#REF!</definedName>
    <definedName name="solver_lhs73" hidden="1">#REF!</definedName>
    <definedName name="solver_lhs74" hidden="1">#REF!</definedName>
    <definedName name="solver_lhs75" hidden="1">#REF!</definedName>
    <definedName name="solver_lhs76" hidden="1">#REF!</definedName>
    <definedName name="solver_lhs77" hidden="1">#REF!</definedName>
    <definedName name="solver_lhs78" hidden="1">#REF!</definedName>
    <definedName name="solver_lhs79" hidden="1">#REF!</definedName>
    <definedName name="solver_lhs8" hidden="1">#REF!</definedName>
    <definedName name="solver_lhs80" hidden="1">#REF!</definedName>
    <definedName name="solver_lhs81" hidden="1">#REF!</definedName>
    <definedName name="solver_lhs82" hidden="1">#REF!</definedName>
    <definedName name="solver_lhs83" hidden="1">#REF!</definedName>
    <definedName name="solver_lhs84" hidden="1">#REF!</definedName>
    <definedName name="solver_lhs85" hidden="1">#REF!</definedName>
    <definedName name="solver_lhs86" hidden="1">#REF!</definedName>
    <definedName name="solver_lhs87" hidden="1">#REF!</definedName>
    <definedName name="solver_lhs88" hidden="1">#REF!</definedName>
    <definedName name="solver_lhs9" hidden="1">#REF!</definedName>
    <definedName name="solver_lin" hidden="1">2</definedName>
    <definedName name="solver_neg" hidden="1">2</definedName>
    <definedName name="solver_num" hidden="1">22</definedName>
    <definedName name="solver_nwt" hidden="1">1</definedName>
    <definedName name="solver_opt" hidden="1">#REF!</definedName>
    <definedName name="solver_pre" hidden="1">0.000001</definedName>
    <definedName name="solver_rel1" hidden="1">1</definedName>
    <definedName name="solver_rel10" hidden="1">5</definedName>
    <definedName name="solver_rel11" hidden="1">5</definedName>
    <definedName name="solver_rel12" hidden="1">5</definedName>
    <definedName name="solver_rel13" hidden="1">5</definedName>
    <definedName name="solver_rel14" hidden="1">5</definedName>
    <definedName name="solver_rel15" hidden="1">5</definedName>
    <definedName name="solver_rel16" hidden="1">5</definedName>
    <definedName name="solver_rel17" hidden="1">5</definedName>
    <definedName name="solver_rel18" hidden="1">5</definedName>
    <definedName name="solver_rel19" hidden="1">5</definedName>
    <definedName name="solver_rel2" hidden="1">5</definedName>
    <definedName name="solver_rel20" hidden="1">5</definedName>
    <definedName name="solver_rel21" hidden="1">5</definedName>
    <definedName name="solver_rel22" hidden="1">5</definedName>
    <definedName name="solver_rel23" hidden="1">1</definedName>
    <definedName name="solver_rel24" hidden="1">5</definedName>
    <definedName name="solver_rel25" hidden="1">5</definedName>
    <definedName name="solver_rel26" hidden="1">5</definedName>
    <definedName name="solver_rel27" hidden="1">5</definedName>
    <definedName name="solver_rel28" hidden="1">5</definedName>
    <definedName name="solver_rel29" hidden="1">5</definedName>
    <definedName name="solver_rel3" hidden="1">5</definedName>
    <definedName name="solver_rel30" hidden="1">5</definedName>
    <definedName name="solver_rel31" hidden="1">5</definedName>
    <definedName name="solver_rel32" hidden="1">5</definedName>
    <definedName name="solver_rel33" hidden="1">5</definedName>
    <definedName name="solver_rel34" hidden="1">5</definedName>
    <definedName name="solver_rel35" hidden="1">5</definedName>
    <definedName name="solver_rel36" hidden="1">5</definedName>
    <definedName name="solver_rel37" hidden="1">5</definedName>
    <definedName name="solver_rel38" hidden="1">5</definedName>
    <definedName name="solver_rel39" hidden="1">5</definedName>
    <definedName name="solver_rel4" hidden="1">5</definedName>
    <definedName name="solver_rel40" hidden="1">5</definedName>
    <definedName name="solver_rel41" hidden="1">5</definedName>
    <definedName name="solver_rel42" hidden="1">5</definedName>
    <definedName name="solver_rel43" hidden="1">5</definedName>
    <definedName name="solver_rel44" hidden="1">5</definedName>
    <definedName name="solver_rel45" hidden="1">1</definedName>
    <definedName name="solver_rel46" hidden="1">5</definedName>
    <definedName name="solver_rel47" hidden="1">5</definedName>
    <definedName name="solver_rel48" hidden="1">5</definedName>
    <definedName name="solver_rel49" hidden="1">5</definedName>
    <definedName name="solver_rel5" hidden="1">5</definedName>
    <definedName name="solver_rel50" hidden="1">5</definedName>
    <definedName name="solver_rel51" hidden="1">5</definedName>
    <definedName name="solver_rel52" hidden="1">5</definedName>
    <definedName name="solver_rel53" hidden="1">5</definedName>
    <definedName name="solver_rel54" hidden="1">5</definedName>
    <definedName name="solver_rel55" hidden="1">5</definedName>
    <definedName name="solver_rel56" hidden="1">5</definedName>
    <definedName name="solver_rel57" hidden="1">5</definedName>
    <definedName name="solver_rel58" hidden="1">5</definedName>
    <definedName name="solver_rel59" hidden="1">5</definedName>
    <definedName name="solver_rel6" hidden="1">5</definedName>
    <definedName name="solver_rel60" hidden="1">5</definedName>
    <definedName name="solver_rel61" hidden="1">5</definedName>
    <definedName name="solver_rel62" hidden="1">5</definedName>
    <definedName name="solver_rel63" hidden="1">5</definedName>
    <definedName name="solver_rel64" hidden="1">5</definedName>
    <definedName name="solver_rel65" hidden="1">5</definedName>
    <definedName name="solver_rel66" hidden="1">5</definedName>
    <definedName name="solver_rel67" hidden="1">1</definedName>
    <definedName name="solver_rel68" hidden="1">5</definedName>
    <definedName name="solver_rel69" hidden="1">5</definedName>
    <definedName name="solver_rel7" hidden="1">5</definedName>
    <definedName name="solver_rel70" hidden="1">5</definedName>
    <definedName name="solver_rel71" hidden="1">5</definedName>
    <definedName name="solver_rel72" hidden="1">5</definedName>
    <definedName name="solver_rel73" hidden="1">5</definedName>
    <definedName name="solver_rel74" hidden="1">5</definedName>
    <definedName name="solver_rel75" hidden="1">5</definedName>
    <definedName name="solver_rel76" hidden="1">5</definedName>
    <definedName name="solver_rel77" hidden="1">5</definedName>
    <definedName name="solver_rel78" hidden="1">5</definedName>
    <definedName name="solver_rel79" hidden="1">5</definedName>
    <definedName name="solver_rel8" hidden="1">5</definedName>
    <definedName name="solver_rel80" hidden="1">5</definedName>
    <definedName name="solver_rel81" hidden="1">5</definedName>
    <definedName name="solver_rel82" hidden="1">5</definedName>
    <definedName name="solver_rel83" hidden="1">5</definedName>
    <definedName name="solver_rel84" hidden="1">5</definedName>
    <definedName name="solver_rel85" hidden="1">5</definedName>
    <definedName name="solver_rel86" hidden="1">5</definedName>
    <definedName name="solver_rel87" hidden="1">5</definedName>
    <definedName name="solver_rel88" hidden="1">5</definedName>
    <definedName name="solver_rel9" hidden="1">5</definedName>
    <definedName name="solver_rhs1" hidden="1">#REF!</definedName>
    <definedName name="solver_rhs10" localSheetId="11" hidden="1">binary</definedName>
    <definedName name="solver_rhs10" hidden="1">binary</definedName>
    <definedName name="solver_rhs11" localSheetId="11" hidden="1">binary</definedName>
    <definedName name="solver_rhs11" hidden="1">binary</definedName>
    <definedName name="solver_rhs12" localSheetId="11" hidden="1">binary</definedName>
    <definedName name="solver_rhs12" hidden="1">binary</definedName>
    <definedName name="solver_rhs13" localSheetId="11" hidden="1">binary</definedName>
    <definedName name="solver_rhs13" hidden="1">binary</definedName>
    <definedName name="solver_rhs14" localSheetId="11" hidden="1">binary</definedName>
    <definedName name="solver_rhs14" hidden="1">binary</definedName>
    <definedName name="solver_rhs15" localSheetId="11" hidden="1">binary</definedName>
    <definedName name="solver_rhs15" hidden="1">binary</definedName>
    <definedName name="solver_rhs16" localSheetId="11" hidden="1">binary</definedName>
    <definedName name="solver_rhs16" hidden="1">binary</definedName>
    <definedName name="solver_rhs17" localSheetId="11" hidden="1">binary</definedName>
    <definedName name="solver_rhs17" hidden="1">binary</definedName>
    <definedName name="solver_rhs18" localSheetId="11" hidden="1">binary</definedName>
    <definedName name="solver_rhs18" hidden="1">binary</definedName>
    <definedName name="solver_rhs19" localSheetId="11" hidden="1">binary</definedName>
    <definedName name="solver_rhs19" hidden="1">binary</definedName>
    <definedName name="solver_rhs2" localSheetId="11" hidden="1">binary</definedName>
    <definedName name="solver_rhs2" hidden="1">binary</definedName>
    <definedName name="solver_rhs20" localSheetId="11" hidden="1">binary</definedName>
    <definedName name="solver_rhs20" hidden="1">binary</definedName>
    <definedName name="solver_rhs21" localSheetId="11" hidden="1">binary</definedName>
    <definedName name="solver_rhs21" hidden="1">binary</definedName>
    <definedName name="solver_rhs22" localSheetId="11" hidden="1">binary</definedName>
    <definedName name="solver_rhs22" hidden="1">binary</definedName>
    <definedName name="solver_rhs23" localSheetId="11" hidden="1">#REF!</definedName>
    <definedName name="solver_rhs23" hidden="1">#REF!</definedName>
    <definedName name="solver_rhs24" localSheetId="11" hidden="1">binary</definedName>
    <definedName name="solver_rhs24" hidden="1">binary</definedName>
    <definedName name="solver_rhs25" localSheetId="11" hidden="1">binary</definedName>
    <definedName name="solver_rhs25" hidden="1">binary</definedName>
    <definedName name="solver_rhs26" localSheetId="11" hidden="1">binary</definedName>
    <definedName name="solver_rhs26" hidden="1">binary</definedName>
    <definedName name="solver_rhs27" localSheetId="11" hidden="1">binary</definedName>
    <definedName name="solver_rhs27" hidden="1">binary</definedName>
    <definedName name="solver_rhs28" localSheetId="11" hidden="1">binary</definedName>
    <definedName name="solver_rhs28" hidden="1">binary</definedName>
    <definedName name="solver_rhs29" localSheetId="11" hidden="1">binary</definedName>
    <definedName name="solver_rhs29" hidden="1">binary</definedName>
    <definedName name="solver_rhs3" localSheetId="11" hidden="1">binary</definedName>
    <definedName name="solver_rhs3" hidden="1">binary</definedName>
    <definedName name="solver_rhs30" localSheetId="11" hidden="1">binary</definedName>
    <definedName name="solver_rhs30" hidden="1">binary</definedName>
    <definedName name="solver_rhs31" localSheetId="11" hidden="1">binary</definedName>
    <definedName name="solver_rhs31" hidden="1">binary</definedName>
    <definedName name="solver_rhs32" localSheetId="11" hidden="1">binary</definedName>
    <definedName name="solver_rhs32" hidden="1">binary</definedName>
    <definedName name="solver_rhs33" localSheetId="11" hidden="1">binary</definedName>
    <definedName name="solver_rhs33" hidden="1">binary</definedName>
    <definedName name="solver_rhs34" localSheetId="11" hidden="1">binary</definedName>
    <definedName name="solver_rhs34" hidden="1">binary</definedName>
    <definedName name="solver_rhs35" localSheetId="11" hidden="1">binary</definedName>
    <definedName name="solver_rhs35" hidden="1">binary</definedName>
    <definedName name="solver_rhs36" localSheetId="11" hidden="1">binary</definedName>
    <definedName name="solver_rhs36" hidden="1">binary</definedName>
    <definedName name="solver_rhs37" localSheetId="11" hidden="1">binary</definedName>
    <definedName name="solver_rhs37" hidden="1">binary</definedName>
    <definedName name="solver_rhs38" localSheetId="11" hidden="1">binary</definedName>
    <definedName name="solver_rhs38" hidden="1">binary</definedName>
    <definedName name="solver_rhs39" localSheetId="11" hidden="1">binary</definedName>
    <definedName name="solver_rhs39" hidden="1">binary</definedName>
    <definedName name="solver_rhs4" localSheetId="11" hidden="1">binary</definedName>
    <definedName name="solver_rhs4" hidden="1">binary</definedName>
    <definedName name="solver_rhs40" localSheetId="11" hidden="1">binary</definedName>
    <definedName name="solver_rhs40" hidden="1">binary</definedName>
    <definedName name="solver_rhs41" localSheetId="11" hidden="1">binary</definedName>
    <definedName name="solver_rhs41" hidden="1">binary</definedName>
    <definedName name="solver_rhs42" localSheetId="11" hidden="1">binary</definedName>
    <definedName name="solver_rhs42" hidden="1">binary</definedName>
    <definedName name="solver_rhs43" localSheetId="11" hidden="1">binary</definedName>
    <definedName name="solver_rhs43" hidden="1">binary</definedName>
    <definedName name="solver_rhs44" localSheetId="11" hidden="1">binary</definedName>
    <definedName name="solver_rhs44" hidden="1">binary</definedName>
    <definedName name="solver_rhs45" localSheetId="11" hidden="1">#REF!</definedName>
    <definedName name="solver_rhs45" hidden="1">#REF!</definedName>
    <definedName name="solver_rhs46" localSheetId="11" hidden="1">binary</definedName>
    <definedName name="solver_rhs46" hidden="1">binary</definedName>
    <definedName name="solver_rhs47" localSheetId="11" hidden="1">binary</definedName>
    <definedName name="solver_rhs47" hidden="1">binary</definedName>
    <definedName name="solver_rhs48" localSheetId="11" hidden="1">binary</definedName>
    <definedName name="solver_rhs48" hidden="1">binary</definedName>
    <definedName name="solver_rhs49" localSheetId="11" hidden="1">binary</definedName>
    <definedName name="solver_rhs49" hidden="1">binary</definedName>
    <definedName name="solver_rhs5" localSheetId="11" hidden="1">binary</definedName>
    <definedName name="solver_rhs5" hidden="1">binary</definedName>
    <definedName name="solver_rhs50" localSheetId="11" hidden="1">binary</definedName>
    <definedName name="solver_rhs50" hidden="1">binary</definedName>
    <definedName name="solver_rhs51" localSheetId="11" hidden="1">binary</definedName>
    <definedName name="solver_rhs51" hidden="1">binary</definedName>
    <definedName name="solver_rhs52" localSheetId="11" hidden="1">binary</definedName>
    <definedName name="solver_rhs52" hidden="1">binary</definedName>
    <definedName name="solver_rhs53" localSheetId="11" hidden="1">binary</definedName>
    <definedName name="solver_rhs53" hidden="1">binary</definedName>
    <definedName name="solver_rhs54" localSheetId="11" hidden="1">binary</definedName>
    <definedName name="solver_rhs54" hidden="1">binary</definedName>
    <definedName name="solver_rhs55" localSheetId="11" hidden="1">binary</definedName>
    <definedName name="solver_rhs55" hidden="1">binary</definedName>
    <definedName name="solver_rhs56" localSheetId="11" hidden="1">binary</definedName>
    <definedName name="solver_rhs56" hidden="1">binary</definedName>
    <definedName name="solver_rhs57" localSheetId="11" hidden="1">binary</definedName>
    <definedName name="solver_rhs57" hidden="1">binary</definedName>
    <definedName name="solver_rhs58" localSheetId="11" hidden="1">binary</definedName>
    <definedName name="solver_rhs58" hidden="1">binary</definedName>
    <definedName name="solver_rhs59" localSheetId="11" hidden="1">binary</definedName>
    <definedName name="solver_rhs59" hidden="1">binary</definedName>
    <definedName name="solver_rhs6" localSheetId="11" hidden="1">binary</definedName>
    <definedName name="solver_rhs6" hidden="1">binary</definedName>
    <definedName name="solver_rhs60" localSheetId="11" hidden="1">binary</definedName>
    <definedName name="solver_rhs60" hidden="1">binary</definedName>
    <definedName name="solver_rhs61" localSheetId="11" hidden="1">binary</definedName>
    <definedName name="solver_rhs61" hidden="1">binary</definedName>
    <definedName name="solver_rhs62" localSheetId="11" hidden="1">binary</definedName>
    <definedName name="solver_rhs62" hidden="1">binary</definedName>
    <definedName name="solver_rhs63" localSheetId="11" hidden="1">binary</definedName>
    <definedName name="solver_rhs63" hidden="1">binary</definedName>
    <definedName name="solver_rhs64" localSheetId="11" hidden="1">binary</definedName>
    <definedName name="solver_rhs64" hidden="1">binary</definedName>
    <definedName name="solver_rhs65" localSheetId="11" hidden="1">binary</definedName>
    <definedName name="solver_rhs65" hidden="1">binary</definedName>
    <definedName name="solver_rhs66" localSheetId="11" hidden="1">binary</definedName>
    <definedName name="solver_rhs66" hidden="1">binary</definedName>
    <definedName name="solver_rhs67" localSheetId="11" hidden="1">#REF!</definedName>
    <definedName name="solver_rhs67" hidden="1">#REF!</definedName>
    <definedName name="solver_rhs68" localSheetId="11" hidden="1">binary</definedName>
    <definedName name="solver_rhs68" hidden="1">binary</definedName>
    <definedName name="solver_rhs69" localSheetId="11" hidden="1">binary</definedName>
    <definedName name="solver_rhs69" hidden="1">binary</definedName>
    <definedName name="solver_rhs7" localSheetId="11" hidden="1">binary</definedName>
    <definedName name="solver_rhs7" hidden="1">binary</definedName>
    <definedName name="solver_rhs70" localSheetId="11" hidden="1">binary</definedName>
    <definedName name="solver_rhs70" hidden="1">binary</definedName>
    <definedName name="solver_rhs71" localSheetId="11" hidden="1">binary</definedName>
    <definedName name="solver_rhs71" hidden="1">binary</definedName>
    <definedName name="solver_rhs72" localSheetId="11" hidden="1">binary</definedName>
    <definedName name="solver_rhs72" hidden="1">binary</definedName>
    <definedName name="solver_rhs73" localSheetId="11" hidden="1">binary</definedName>
    <definedName name="solver_rhs73" hidden="1">binary</definedName>
    <definedName name="solver_rhs74" localSheetId="11" hidden="1">binary</definedName>
    <definedName name="solver_rhs74" hidden="1">binary</definedName>
    <definedName name="solver_rhs75" localSheetId="11" hidden="1">binary</definedName>
    <definedName name="solver_rhs75" hidden="1">binary</definedName>
    <definedName name="solver_rhs76" localSheetId="11" hidden="1">binary</definedName>
    <definedName name="solver_rhs76" hidden="1">binary</definedName>
    <definedName name="solver_rhs77" localSheetId="11" hidden="1">binary</definedName>
    <definedName name="solver_rhs77" hidden="1">binary</definedName>
    <definedName name="solver_rhs78" localSheetId="11" hidden="1">binary</definedName>
    <definedName name="solver_rhs78" hidden="1">binary</definedName>
    <definedName name="solver_rhs79" localSheetId="11" hidden="1">binary</definedName>
    <definedName name="solver_rhs79" hidden="1">binary</definedName>
    <definedName name="solver_rhs8" localSheetId="11" hidden="1">binary</definedName>
    <definedName name="solver_rhs8" hidden="1">binary</definedName>
    <definedName name="solver_rhs80" localSheetId="11" hidden="1">binary</definedName>
    <definedName name="solver_rhs80" hidden="1">binary</definedName>
    <definedName name="solver_rhs81" localSheetId="11" hidden="1">binary</definedName>
    <definedName name="solver_rhs81" hidden="1">binary</definedName>
    <definedName name="solver_rhs82" localSheetId="11" hidden="1">binary</definedName>
    <definedName name="solver_rhs82" hidden="1">binary</definedName>
    <definedName name="solver_rhs83" localSheetId="11" hidden="1">binary</definedName>
    <definedName name="solver_rhs83" hidden="1">binary</definedName>
    <definedName name="solver_rhs84" localSheetId="11" hidden="1">binary</definedName>
    <definedName name="solver_rhs84" hidden="1">binary</definedName>
    <definedName name="solver_rhs85" localSheetId="11" hidden="1">binary</definedName>
    <definedName name="solver_rhs85" hidden="1">binary</definedName>
    <definedName name="solver_rhs86" localSheetId="11" hidden="1">binary</definedName>
    <definedName name="solver_rhs86" hidden="1">binary</definedName>
    <definedName name="solver_rhs87" localSheetId="11" hidden="1">binary</definedName>
    <definedName name="solver_rhs87" hidden="1">binary</definedName>
    <definedName name="solver_rhs88" localSheetId="11" hidden="1">binary</definedName>
    <definedName name="solver_rhs88" hidden="1">binary</definedName>
    <definedName name="solver_rhs9" localSheetId="11" hidden="1">binary</definedName>
    <definedName name="solver_rhs9" hidden="1">binary</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lver2" hidden="1">#REF!</definedName>
    <definedName name="Space">[2]Capex!$L$9:$R$9</definedName>
    <definedName name="SPM" localSheetId="11" hidden="1">{#N/A,#N/A,FALSE,"Cashflow Analysis";#N/A,#N/A,FALSE,"Sensitivity Analysis";#N/A,#N/A,FALSE,"PV";#N/A,#N/A,FALSE,"Pro Forma"}</definedName>
    <definedName name="SPM" hidden="1">{#N/A,#N/A,FALSE,"Cashflow Analysis";#N/A,#N/A,FALSE,"Sensitivity Analysis";#N/A,#N/A,FALSE,"PV";#N/A,#N/A,FALSE,"Pro Forma"}</definedName>
    <definedName name="SPM.2" localSheetId="11" hidden="1">{#N/A,#N/A,FALSE,"Cashflow Analysis";#N/A,#N/A,FALSE,"Sensitivity Analysis";#N/A,#N/A,FALSE,"PV";#N/A,#N/A,FALSE,"Pro Forma"}</definedName>
    <definedName name="SPM.2" hidden="1">{#N/A,#N/A,FALSE,"Cashflow Analysis";#N/A,#N/A,FALSE,"Sensitivity Analysis";#N/A,#N/A,FALSE,"PV";#N/A,#N/A,FALSE,"Pro Forma"}</definedName>
    <definedName name="SSO" localSheetId="11" hidden="1">{#N/A,#N/A,FALSE,"CF Consolidated 2";#N/A,#N/A,FALSE,"Retail Assump";#N/A,#N/A,FALSE,"CF Retail";#N/A,#N/A,FALSE,"Garage Assumpt 1";#N/A,#N/A,FALSE,"Garage Op Proj";#N/A,#N/A,FALSE,"Hist I&amp;E";#N/A,#N/A,FALSE,"Rent Roll";#N/A,#N/A,FALSE,"RE Taxes";#N/A,#N/A,FALSE,"CAM - BH";#N/A,#N/A,FALSE,"Comm.Condo CAM"}</definedName>
    <definedName name="SSO" hidden="1">{#N/A,#N/A,FALSE,"CF Consolidated 2";#N/A,#N/A,FALSE,"Retail Assump";#N/A,#N/A,FALSE,"CF Retail";#N/A,#N/A,FALSE,"Garage Assumpt 1";#N/A,#N/A,FALSE,"Garage Op Proj";#N/A,#N/A,FALSE,"Hist I&amp;E";#N/A,#N/A,FALSE,"Rent Roll";#N/A,#N/A,FALSE,"RE Taxes";#N/A,#N/A,FALSE,"CAM - BH";#N/A,#N/A,FALSE,"Comm.Condo CAM"}</definedName>
    <definedName name="st" localSheetId="11"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st"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startdate">#REF!</definedName>
    <definedName name="Total_Company">[2]Capex!$L$3:$R$3</definedName>
    <definedName name="Total_Equity">#REF!</definedName>
    <definedName name="Total_Interest">#REF!</definedName>
    <definedName name="Total_Lender">[2]Capex!$L$8:$R$8</definedName>
    <definedName name="Total_Pay">#REF!</definedName>
    <definedName name="totalcapex">#REF!</definedName>
    <definedName name="TotalHardCosts" hidden="1">#REF!</definedName>
    <definedName name="TotalProjectOHLot" hidden="1">#REF!</definedName>
    <definedName name="TotalSalesPrice" hidden="1">#REF!</definedName>
    <definedName name="totalunits">#REF!</definedName>
    <definedName name="trial" localSheetId="11" hidden="1">{"Outflow 1",#N/A,FALSE,"Outflows-Inflows";"Outflow 2",#N/A,FALSE,"Outflows-Inflows";"Inflow 1",#N/A,FALSE,"Outflows-Inflows";"Inflow 2",#N/A,FALSE,"Outflows-Inflows"}</definedName>
    <definedName name="trial" hidden="1">{"Outflow 1",#N/A,FALSE,"Outflows-Inflows";"Outflow 2",#N/A,FALSE,"Outflows-Inflows";"Inflow 1",#N/A,FALSE,"Outflows-Inflows";"Inflow 2",#N/A,FALSE,"Outflows-Inflows"}</definedName>
    <definedName name="tyler"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tyler"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tyler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tyler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Unit_C">OFFSET([2]Capex!$AK$3,0,0,COUNTA([2]Capex!$AL:$AL)+1,7)</definedName>
    <definedName name="Unit_Count" localSheetId="11">'Cash Flows &amp; Summary'!$R$14</definedName>
    <definedName name="Unit_Count" localSheetId="9">#REF!</definedName>
    <definedName name="Unit_Count" localSheetId="16">#REF!</definedName>
    <definedName name="Unit_Count">'Cash Flows &amp; Summary'!$R$14</definedName>
    <definedName name="Unit_L">OFFSET([2]Capex!$BI$3,0,0,COUNTA([2]Capex!$BJ:$BJ)+1,7)</definedName>
    <definedName name="unitcount">#REF!</definedName>
    <definedName name="Units">#REF!</definedName>
    <definedName name="Units_Retail">#REF!</definedName>
    <definedName name="UnitstoReno">#REF!</definedName>
    <definedName name="USDollar" hidden="1">#REF!</definedName>
    <definedName name="uyfkf"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uyfkf"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UYR"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UYR"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VACANCYNOTES">[1]Revenue!#REF!</definedName>
    <definedName name="Value" localSheetId="11" hidden="1">{#N/A,#N/A,FALSE,"Cashflow Analysis";#N/A,#N/A,FALSE,"Sensitivity Analysis";#N/A,#N/A,FALSE,"PV";#N/A,#N/A,FALSE,"Pro Forma"}</definedName>
    <definedName name="Value" hidden="1">{#N/A,#N/A,FALSE,"Cashflow Analysis";#N/A,#N/A,FALSE,"Sensitivity Analysis";#N/A,#N/A,FALSE,"PV";#N/A,#N/A,FALSE,"Pro Forma"}</definedName>
    <definedName name="Value.2" localSheetId="11" hidden="1">{#N/A,#N/A,FALSE,"Cashflow Analysis";#N/A,#N/A,FALSE,"Sensitivity Analysis";#N/A,#N/A,FALSE,"PV";#N/A,#N/A,FALSE,"Pro Forma"}</definedName>
    <definedName name="Value.2" hidden="1">{#N/A,#N/A,FALSE,"Cashflow Analysis";#N/A,#N/A,FALSE,"Sensitivity Analysis";#N/A,#N/A,FALSE,"PV";#N/A,#N/A,FALSE,"Pro Forma"}</definedName>
    <definedName name="value1" localSheetId="11" hidden="1">{#N/A,#N/A,FALSE,"Cashflow Analysis";#N/A,#N/A,FALSE,"Sensitivity Analysis";#N/A,#N/A,FALSE,"PV";#N/A,#N/A,FALSE,"Pro Forma"}</definedName>
    <definedName name="value1" hidden="1">{#N/A,#N/A,FALSE,"Cashflow Analysis";#N/A,#N/A,FALSE,"Sensitivity Analysis";#N/A,#N/A,FALSE,"PV";#N/A,#N/A,FALSE,"Pro Forma"}</definedName>
    <definedName name="value1.2" localSheetId="11" hidden="1">{#N/A,#N/A,FALSE,"Cashflow Analysis";#N/A,#N/A,FALSE,"Sensitivity Analysis";#N/A,#N/A,FALSE,"PV";#N/A,#N/A,FALSE,"Pro Forma"}</definedName>
    <definedName name="value1.2" hidden="1">{#N/A,#N/A,FALSE,"Cashflow Analysis";#N/A,#N/A,FALSE,"Sensitivity Analysis";#N/A,#N/A,FALSE,"PV";#N/A,#N/A,FALSE,"Pro Forma"}</definedName>
    <definedName name="vj" localSheetId="11" hidden="1">{#N/A,#N/A,FALSE,"Assumptions";#N/A,#N/A,FALSE,"10-Yr - detail";#N/A,#N/A,FALSE,"Rent Roll";#N/A,#N/A,FALSE,"Historical (2)";#N/A,#N/A,FALSE,"RET's";#N/A,#N/A,FALSE,"Lse-Exp.";#N/A,#N/A,FALSE,"Lease Rollover";#N/A,#N/A,FALSE,"Service Contracts"}</definedName>
    <definedName name="vj" hidden="1">{#N/A,#N/A,FALSE,"Assumptions";#N/A,#N/A,FALSE,"10-Yr - detail";#N/A,#N/A,FALSE,"Rent Roll";#N/A,#N/A,FALSE,"Historical (2)";#N/A,#N/A,FALSE,"RET's";#N/A,#N/A,FALSE,"Lse-Exp.";#N/A,#N/A,FALSE,"Lease Rollover";#N/A,#N/A,FALSE,"Service Contracts"}</definedName>
    <definedName name="vvvv" localSheetId="11" hidden="1">{#N/A,#N/A,FALSE,"Cashflow Analysis";#N/A,#N/A,FALSE,"Sensitivity Analysis";#N/A,#N/A,FALSE,"PV";#N/A,#N/A,FALSE,"Pro Forma"}</definedName>
    <definedName name="vvvv" hidden="1">{#N/A,#N/A,FALSE,"Cashflow Analysis";#N/A,#N/A,FALSE,"Sensitivity Analysis";#N/A,#N/A,FALSE,"PV";#N/A,#N/A,FALSE,"Pro Forma"}</definedName>
    <definedName name="VVVV.2" localSheetId="11" hidden="1">{#N/A,#N/A,FALSE,"Cashflow Analysis";#N/A,#N/A,FALSE,"Sensitivity Analysis";#N/A,#N/A,FALSE,"PV";#N/A,#N/A,FALSE,"Pro Forma"}</definedName>
    <definedName name="VVVV.2" hidden="1">{#N/A,#N/A,FALSE,"Cashflow Analysis";#N/A,#N/A,FALSE,"Sensitivity Analysis";#N/A,#N/A,FALSE,"PV";#N/A,#N/A,FALSE,"Pro Forma"}</definedName>
    <definedName name="w" localSheetId="11" hidden="1">{"cap_structure",#N/A,FALSE,"Graph-Mkt Cap";"price",#N/A,FALSE,"Graph-Price";"ebit",#N/A,FALSE,"Graph-EBITDA";"ebitda",#N/A,FALSE,"Graph-EBITDA"}</definedName>
    <definedName name="w" hidden="1">{"cap_structure",#N/A,FALSE,"Graph-Mkt Cap";"price",#N/A,FALSE,"Graph-Price";"ebit",#N/A,FALSE,"Graph-EBITDA";"ebitda",#N/A,FALSE,"Graph-EBITDA"}</definedName>
    <definedName name="wafe" localSheetId="11" hidden="1">{"summary1",#N/A,TRUE,"Comps";"summary2",#N/A,TRUE,"Comps";"summary3",#N/A,TRUE,"Comps"}</definedName>
    <definedName name="wafe" hidden="1">{"summary1",#N/A,TRUE,"Comps";"summary2",#N/A,TRUE,"Comps";"summary3",#N/A,TRUE,"Comps"}</definedName>
    <definedName name="WEA"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A"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af"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a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QQE" localSheetId="11" hidden="1">{"summary1",#N/A,TRUE,"Comps";"summary2",#N/A,TRUE,"Comps";"summary3",#N/A,TRUE,"Comps"}</definedName>
    <definedName name="WEQQE" hidden="1">{"summary1",#N/A,TRUE,"Comps";"summary2",#N/A,TRUE,"Comps";"summary3",#N/A,TRUE,"Comps"}</definedName>
    <definedName name="wetrwergfwer" localSheetId="11" hidden="1">{"cap_structure",#N/A,FALSE,"Graph-Mkt Cap";"price",#N/A,FALSE,"Graph-Price";"ebit",#N/A,FALSE,"Graph-EBITDA";"ebitda",#N/A,FALSE,"Graph-EBITDA"}</definedName>
    <definedName name="wetrwergfwer" hidden="1">{"cap_structure",#N/A,FALSE,"Graph-Mkt Cap";"price",#N/A,FALSE,"Graph-Price";"ebit",#N/A,FALSE,"Graph-EBITDA";"ebitda",#N/A,FALSE,"Graph-EBITDA"}</definedName>
    <definedName name="what_asdf2" localSheetId="11" hidden="1">{#N/A,#N/A,FALSE,"OperatingAssumptions"}</definedName>
    <definedName name="what_asdf2" hidden="1">{#N/A,#N/A,FALSE,"OperatingAssumptions"}</definedName>
    <definedName name="WQE"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Q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r"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r"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rd.2._.pagers.3" localSheetId="11" hidden="1">{"Cover",#N/A,FALSE,"Cover";"Summary",#N/A,FALSE,"Summarpage"}</definedName>
    <definedName name="wrd.2._.pagers.3" hidden="1">{"Cover",#N/A,FALSE,"Cover";"Summary",#N/A,FALSE,"Summarpage"}</definedName>
    <definedName name="wrn.10._.Year._.Analysis." localSheetId="11" hidden="1">{"Data Input",#N/A,TRUE,"Data Input";"10-Yr Cash Flow",#N/A,TRUE,"Cash Flow";"10-Yr Value",#N/A,TRUE,"Value "}</definedName>
    <definedName name="wrn.10._.Year._.Analysis." hidden="1">{"Data Input",#N/A,TRUE,"Data Input";"10-Yr Cash Flow",#N/A,TRUE,"Cash Flow";"10-Yr Value",#N/A,TRUE,"Value "}</definedName>
    <definedName name="wrn.15._.Year._.Analysis." localSheetId="11" hidden="1">{"Data Input",#N/A,TRUE,"Data Input";"15-Yr Cash Flow",#N/A,TRUE,"Cash Flow";"15-Yr Value",#N/A,TRUE,"Value "}</definedName>
    <definedName name="wrn.15._.Year._.Analysis." hidden="1">{"Data Input",#N/A,TRUE,"Data Input";"15-Yr Cash Flow",#N/A,TRUE,"Cash Flow";"15-Yr Value",#N/A,TRUE,"Value "}</definedName>
    <definedName name="wrn.2" localSheetId="11"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wrn.2"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wrn.2._.pagers." localSheetId="11" hidden="1">{"Cover",#N/A,FALSE,"Cover";"Summary",#N/A,FALSE,"Summarpage"}</definedName>
    <definedName name="wrn.2._.pagers." hidden="1">{"Cover",#N/A,FALSE,"Cover";"Summary",#N/A,FALSE,"Summarpage"}</definedName>
    <definedName name="wrn.2._.pagers.2" localSheetId="11" hidden="1">{"Cover",#N/A,FALSE,"Cover";"Summary",#N/A,FALSE,"Summarpage"}</definedName>
    <definedName name="wrn.2._.pagers.2" hidden="1">{"Cover",#N/A,FALSE,"Cover";"Summary",#N/A,FALSE,"Summarpage"}</definedName>
    <definedName name="wrn.275PricingBook." localSheetId="11" hidden="1">{#N/A,#N/A,FALSE,"Assumptions";#N/A,#N/A,FALSE,"Impact Assumptions";#N/A,#N/A,FALSE,"10-Yr - detail";#N/A,#N/A,FALSE,"1,5,10 yr comp";#N/A,#N/A,FALSE,"Lse-Exp.";#N/A,#N/A,FALSE,"Rent Roll";#N/A,#N/A,FALSE,"Historical (2)";#N/A,#N/A,FALSE,"RET's";#N/A,#N/A,FALSE,"Lease Rollover"}</definedName>
    <definedName name="wrn.275PricingBook." hidden="1">{#N/A,#N/A,FALSE,"Assumptions";#N/A,#N/A,FALSE,"Impact Assumptions";#N/A,#N/A,FALSE,"10-Yr - detail";#N/A,#N/A,FALSE,"1,5,10 yr comp";#N/A,#N/A,FALSE,"Lse-Exp.";#N/A,#N/A,FALSE,"Rent Roll";#N/A,#N/A,FALSE,"Historical (2)";#N/A,#N/A,FALSE,"RET's";#N/A,#N/A,FALSE,"Lease Rollover"}</definedName>
    <definedName name="wrn.275Schedulles." localSheetId="11" hidden="1">{#N/A,#N/A,FALSE,"Assumptions";#N/A,#N/A,FALSE,"10-Yr - detail";#N/A,#N/A,FALSE,"Rent Roll";#N/A,#N/A,FALSE,"Historical (2)";#N/A,#N/A,FALSE,"RET's";#N/A,#N/A,FALSE,"Lse-Exp.";#N/A,#N/A,FALSE,"Lease Rollover";#N/A,#N/A,FALSE,"Service Contracts"}</definedName>
    <definedName name="wrn.275Schedulles." hidden="1">{#N/A,#N/A,FALSE,"Assumptions";#N/A,#N/A,FALSE,"10-Yr - detail";#N/A,#N/A,FALSE,"Rent Roll";#N/A,#N/A,FALSE,"Historical (2)";#N/A,#N/A,FALSE,"RET's";#N/A,#N/A,FALSE,"Lse-Exp.";#N/A,#N/A,FALSE,"Lease Rollover";#N/A,#N/A,FALSE,"Service Contracts"}</definedName>
    <definedName name="wrn.3cases." localSheetId="11" hidden="1">{#N/A,"Base",FALSE,"Dividend";#N/A,"Conservative",FALSE,"Dividend";#N/A,"Downside",FALSE,"Dividend"}</definedName>
    <definedName name="wrn.3cases." hidden="1">{#N/A,"Base",FALSE,"Dividend";#N/A,"Conservative",FALSE,"Dividend";#N/A,"Downside",FALSE,"Dividend"}</definedName>
    <definedName name="wrn.3yr.CF." localSheetId="11" hidden="1">{"assume",#N/A,FALSE,"K&amp;20th Month CF";"MoCF",#N/A,FALSE,"K&amp;20th Month CF";"AnCF",#N/A,FALSE,"K&amp;20th Month CF"}</definedName>
    <definedName name="wrn.3yr.CF." hidden="1">{"assume",#N/A,FALSE,"K&amp;20th Month CF";"MoCF",#N/A,FALSE,"K&amp;20th Month CF";"AnCF",#N/A,FALSE,"K&amp;20th Month CF"}</definedName>
    <definedName name="wrn.Accretion." localSheetId="11" hidden="1">{"Accretion",#N/A,FALSE,"Assum"}</definedName>
    <definedName name="wrn.Accretion." hidden="1">{"Accretion",#N/A,FALSE,"Assum"}</definedName>
    <definedName name="wrn.Acq._.Model." localSheetId="11" hidden="1">{"RTN",#N/A,FALSE,"RTN";"Inc Stmt",#N/A,FALSE,"Inc Stmt";"Stats",#N/A,FALSE,"Stats";"Rnds",#N/A,FALSE,"Rnds";"Capx",#N/A,FALSE,"CapX";"Dues",#N/A,FALSE,"Dues";"Hist",#N/A,FALSE,"Hist";"Rev1",#N/A,FALSE,"Rev";"Rev2",#N/A,FALSE,"Rev";"Exp",#N/A,FALSE,"Exp";"Rounds",#N/A,FALSE,"Rounds";"Cap Imp",#N/A,FALSE,"Cap Imp"}</definedName>
    <definedName name="wrn.Acq._.Model." hidden="1">{"RTN",#N/A,FALSE,"RTN";"Inc Stmt",#N/A,FALSE,"Inc Stmt";"Stats",#N/A,FALSE,"Stats";"Rnds",#N/A,FALSE,"Rnds";"Capx",#N/A,FALSE,"CapX";"Dues",#N/A,FALSE,"Dues";"Hist",#N/A,FALSE,"Hist";"Rev1",#N/A,FALSE,"Rev";"Rev2",#N/A,FALSE,"Rev";"Exp",#N/A,FALSE,"Exp";"Rounds",#N/A,FALSE,"Rounds";"Cap Imp",#N/A,FALSE,"Cap Imp"}</definedName>
    <definedName name="wrn.Acquisition._.Model." localSheetId="11" hidden="1">{"Return",#N/A,FALSE,"RTN";"Inc Stmt",#N/A,FALSE,"Inc Stmt";"Stats",#N/A,FALSE,"Stats";"Rnds",#N/A,FALSE,"Rnds";"Dues",#N/A,FALSE,"Dues";"Capx",#N/A,FALSE,"CapX";"History",#N/A,FALSE,"Hist";"Rev",#N/A,FALSE,"Rev";"Expenses",#N/A,FALSE,"Exp";"Rounds",#N/A,FALSE,"Rounds";"Capex",#N/A,FALSE,"Capex"}</definedName>
    <definedName name="wrn.Acquisition._.Model." hidden="1">{"Return",#N/A,FALSE,"RTN";"Inc Stmt",#N/A,FALSE,"Inc Stmt";"Stats",#N/A,FALSE,"Stats";"Rnds",#N/A,FALSE,"Rnds";"Dues",#N/A,FALSE,"Dues";"Capx",#N/A,FALSE,"CapX";"History",#N/A,FALSE,"Hist";"Rev",#N/A,FALSE,"Rev";"Expenses",#N/A,FALSE,"Exp";"Rounds",#N/A,FALSE,"Rounds";"Capex",#N/A,FALSE,"Capex"}</definedName>
    <definedName name="wrn.All._.Schedules." localSheetId="11" hidden="1">{#N/A,#N/A,FALSE,"CF Consolidated 2";#N/A,#N/A,FALSE,"Retail Assump";#N/A,#N/A,FALSE,"CF Retail";#N/A,#N/A,FALSE,"Garage Assumpt 1";#N/A,#N/A,FALSE,"Garage Op Proj";#N/A,#N/A,FALSE,"Hist I&amp;E";#N/A,#N/A,FALSE,"Rent Roll";#N/A,#N/A,FALSE,"RE Taxes";#N/A,#N/A,FALSE,"CAM - BH";#N/A,#N/A,FALSE,"Comm.Condo CAM"}</definedName>
    <definedName name="wrn.All._.Schedules." hidden="1">{#N/A,#N/A,FALSE,"CF Consolidated 2";#N/A,#N/A,FALSE,"Retail Assump";#N/A,#N/A,FALSE,"CF Retail";#N/A,#N/A,FALSE,"Garage Assumpt 1";#N/A,#N/A,FALSE,"Garage Op Proj";#N/A,#N/A,FALSE,"Hist I&amp;E";#N/A,#N/A,FALSE,"Rent Roll";#N/A,#N/A,FALSE,"RE Taxes";#N/A,#N/A,FALSE,"CAM - BH";#N/A,#N/A,FALSE,"Comm.Condo CAM"}</definedName>
    <definedName name="wrn.All._.Stock_10_12_14." localSheetId="11"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nnualRentRoll" localSheetId="11" hidden="1">{"AnnualRentRoll",#N/A,FALSE,"RentRoll"}</definedName>
    <definedName name="wrn.AnnualRentRoll" hidden="1">{"AnnualRentRoll",#N/A,FALSE,"RentRoll"}</definedName>
    <definedName name="wrn.AnnualRentRoll." localSheetId="11" hidden="1">{"AnnualRentRoll",#N/A,FALSE,"RentRoll"}</definedName>
    <definedName name="wrn.AnnualRentRoll." hidden="1">{"AnnualRentRoll",#N/A,FALSE,"RentRoll"}</definedName>
    <definedName name="wrn.annualrentroll2" localSheetId="11" hidden="1">{"AnnualRentRoll",#N/A,FALSE,"RentRoll"}</definedName>
    <definedName name="wrn.annualrentroll2" hidden="1">{"AnnualRentRoll",#N/A,FALSE,"RentRoll"}</definedName>
    <definedName name="wrn.Assumptions." localSheetId="11" hidden="1">{"Assumptions",#N/A,FALSE,"Assum"}</definedName>
    <definedName name="wrn.Assumptions." hidden="1">{"Assumptions",#N/A,FALSE,"Assum"}</definedName>
    <definedName name="wrn.Auto._.Comp." localSheetId="11" hidden="1">{#N/A,#N/A,FALSE,"Sheet1"}</definedName>
    <definedName name="wrn.Auto._.Comp." hidden="1">{#N/A,#N/A,FALSE,"Sheet1"}</definedName>
    <definedName name="wrn.Basic." localSheetId="11" hidden="1">{#N/A,#N/A,FALSE,"Cover";#N/A,#N/A,FALSE,"Assumptions";#N/A,#N/A,FALSE,"Acquirer";#N/A,#N/A,FALSE,"Target";#N/A,#N/A,FALSE,"Income Statement";#N/A,#N/A,FALSE,"Summary Tables"}</definedName>
    <definedName name="wrn.Basic." hidden="1">{#N/A,#N/A,FALSE,"Cover";#N/A,#N/A,FALSE,"Assumptions";#N/A,#N/A,FALSE,"Acquirer";#N/A,#N/A,FALSE,"Target";#N/A,#N/A,FALSE,"Income Statement";#N/A,#N/A,FALSE,"Summary Tables"}</definedName>
    <definedName name="wrn.BIGGER." localSheetId="11" hidden="1">{"PROFORMA",#N/A,FALSE,"A";"BIGGER 1",#N/A,FALSE,"B";"BIGGER 2",#N/A,FALSE,"B";"BIGGER 3",#N/A,FALSE,"B";"SMALL CF 1",#N/A,FALSE,"C"}</definedName>
    <definedName name="wrn.BIGGER." hidden="1">{"PROFORMA",#N/A,FALSE,"A";"BIGGER 1",#N/A,FALSE,"B";"BIGGER 2",#N/A,FALSE,"B";"BIGGER 3",#N/A,FALSE,"B";"SMALL CF 1",#N/A,FALSE,"C"}</definedName>
    <definedName name="wrn.BlackWhite." localSheetId="11" hidden="1">{#N/A,#N/A,FALSE,"NNN sum";#N/A,#N/A,FALSE,"10-yr Opt. A Sum";#N/A,#N/A,FALSE,"10-yr Opt A Other Costs";#N/A,#N/A,FALSE,"Purchase Sum";#N/A,#N/A,FALSE,"Purchase Other Costs"}</definedName>
    <definedName name="wrn.BlackWhite." hidden="1">{#N/A,#N/A,FALSE,"NNN sum";#N/A,#N/A,FALSE,"10-yr Opt. A Sum";#N/A,#N/A,FALSE,"10-yr Opt A Other Costs";#N/A,#N/A,FALSE,"Purchase Sum";#N/A,#N/A,FALSE,"Purchase Other Costs"}</definedName>
    <definedName name="wrn.BlackWhite5" localSheetId="11" hidden="1">{#N/A,#N/A,FALSE,"NNN sum";#N/A,#N/A,FALSE,"10-yr Opt. A Sum";#N/A,#N/A,FALSE,"10-yr Opt A Other Costs";#N/A,#N/A,FALSE,"Purchase Sum";#N/A,#N/A,FALSE,"Purchase Other Costs"}</definedName>
    <definedName name="wrn.BlackWhite5" hidden="1">{#N/A,#N/A,FALSE,"NNN sum";#N/A,#N/A,FALSE,"10-yr Opt. A Sum";#N/A,#N/A,FALSE,"10-yr Opt A Other Costs";#N/A,#N/A,FALSE,"Purchase Sum";#N/A,#N/A,FALSE,"Purchase Other Costs"}</definedName>
    <definedName name="wrn.bleu4." localSheetId="11" hidden="1">{#N/A,#N/A,FALSE}</definedName>
    <definedName name="wrn.bleu4." hidden="1">{#N/A,#N/A,FALSE}</definedName>
    <definedName name="wrn.Blue._.Book._.Sections." localSheetId="11" hidden="1">{#N/A,#N/A,TRUE,"Summary";#N/A,#N/A,TRUE,"Program Scheme";#N/A,#N/A,TRUE,"Assumptions";#N/A,#N/A,TRUE,"Development Budget &amp; Timing";#N/A,#N/A,TRUE,"Cash Flow";#N/A,#N/A,TRUE,"Cash Flow to Debt &amp; Equity"}</definedName>
    <definedName name="wrn.Blue._.Book._.Sections." hidden="1">{#N/A,#N/A,TRUE,"Summary";#N/A,#N/A,TRUE,"Program Scheme";#N/A,#N/A,TRUE,"Assumptions";#N/A,#N/A,TRUE,"Development Budget &amp; Timing";#N/A,#N/A,TRUE,"Cash Flow";#N/A,#N/A,TRUE,"Cash Flow to Debt &amp; Equity"}</definedName>
    <definedName name="wrn.Bonds." localSheetId="11" hidden="1">{#N/A,#N/A,FALSE,"Bonds - Consol";#N/A,#N/A,FALSE,"Bonds - Lakes";#N/A,#N/A,FALSE,"Bonds - Chabot";#N/A,#N/A,FALSE,"Bonds - Diablo"}</definedName>
    <definedName name="wrn.Bonds." hidden="1">{#N/A,#N/A,FALSE,"Bonds - Consol";#N/A,#N/A,FALSE,"Bonds - Lakes";#N/A,#N/A,FALSE,"Bonds - Chabot";#N/A,#N/A,FALSE,"Bonds - Diablo"}</definedName>
    <definedName name="wrn.CAPREIT." localSheetId="11" hidden="1">{#N/A,#N/A,FALSE,"CAPREIT"}</definedName>
    <definedName name="wrn.CAPREIT." hidden="1">{#N/A,#N/A,FALSE,"CAPREIT"}</definedName>
    <definedName name="wrn.CAPREIT2" localSheetId="11" hidden="1">{#N/A,#N/A,FALSE,"CAPREIT"}</definedName>
    <definedName name="wrn.CAPREIT2" hidden="1">{#N/A,#N/A,FALSE,"CAPREIT"}</definedName>
    <definedName name="wrn.Capx." localSheetId="11" hidden="1">{"Capx/exp",#N/A,FALSE,"CapX"}</definedName>
    <definedName name="wrn.Capx." hidden="1">{"Capx/exp",#N/A,FALSE,"CapX"}</definedName>
    <definedName name="wrn.Cash._.Flow._.Analysis." localSheetId="11" hidden="1">{"CF",#N/A,FALSE,"Cash Flow";"RET",#N/A,FALSE,"Returns";"NPV",#N/A,FALSE,"Values";"ASMPT",#N/A,FALSE,"Assumptions"}</definedName>
    <definedName name="wrn.Cash._.Flow._.Analysis." hidden="1">{"CF",#N/A,FALSE,"Cash Flow";"RET",#N/A,FALSE,"Returns";"NPV",#N/A,FALSE,"Values";"ASMPT",#N/A,FALSE,"Assumptions"}</definedName>
    <definedName name="wrn.Cash._.Flow._.and._.Matrix." localSheetId="11" hidden="1">{#N/A,#N/A,FALSE,"Matrix";#N/A,#N/A,FALSE,"Cash Flow";#N/A,#N/A,FALSE,"10 Year Cost Analysis"}</definedName>
    <definedName name="wrn.Cash._.Flow._.and._.Matrix." hidden="1">{#N/A,#N/A,FALSE,"Matrix";#N/A,#N/A,FALSE,"Cash Flow";#N/A,#N/A,FALSE,"10 Year Cost Analysis"}</definedName>
    <definedName name="wrn.CASH._.FLOWS._.ONLY." localSheetId="11" hidden="1">{#N/A,#N/A,FALSE,"Assumptions";#N/A,#N/A,FALSE,"Consol CF";#N/A,#N/A,FALSE,"Hacienda CF";#N/A,#N/A,FALSE,"Chabot CF";#N/A,#N/A,FALSE,"Diablo CF"}</definedName>
    <definedName name="wrn.CASH._.FLOWS._.ONLY." hidden="1">{#N/A,#N/A,FALSE,"Assumptions";#N/A,#N/A,FALSE,"Consol CF";#N/A,#N/A,FALSE,"Hacienda CF";#N/A,#N/A,FALSE,"Chabot CF";#N/A,#N/A,FALSE,"Diablo CF"}</definedName>
    <definedName name="wrn.CF._.Print." localSheetId="11"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wrn.CF._.Print."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wrn.check." localSheetId="11" hidden="1">{#N/A,#N/A,FALSE,"Summary";#N/A,#N/A,FALSE,"Project Summary";#N/A,#N/A,FALSE,"Development Cost Summary";#N/A,#N/A,FALSE,"Development Cost Allocation";#N/A,#N/A,FALSE,"Pad Fees";#N/A,#N/A,FALSE,"Costs";#N/A,#N/A,FALSE,"Parking Budget";#N/A,#N/A,FALSE,"Retail Development Budget";#N/A,#N/A,FALSE,"Office Development Budget";#N/A,#N/A,FALSE,"Hotel Development Budget"}</definedName>
    <definedName name="wrn.check." hidden="1">{#N/A,#N/A,FALSE,"Summary";#N/A,#N/A,FALSE,"Project Summary";#N/A,#N/A,FALSE,"Development Cost Summary";#N/A,#N/A,FALSE,"Development Cost Allocation";#N/A,#N/A,FALSE,"Pad Fees";#N/A,#N/A,FALSE,"Costs";#N/A,#N/A,FALSE,"Parking Budget";#N/A,#N/A,FALSE,"Retail Development Budget";#N/A,#N/A,FALSE,"Office Development Budget";#N/A,#N/A,FALSE,"Hotel Development Budget"}</definedName>
    <definedName name="wrn.Complete." localSheetId="1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Budget." localSheetId="11" hidden="1">{#N/A,#N/A,FALSE,"PropInfo";#N/A,#N/A,FALSE,"Summary";#N/A,#N/A,FALSE,"Comparitive";#N/A,#N/A,FALSE,"RevSummary";#N/A,#N/A,FALSE,"Rooms";#N/A,#N/A,FALSE,"Van";#N/A,#N/A,FALSE,"F&amp;B Rev";#N/A,#N/A,FALSE,"Food";#N/A,#N/A,FALSE,"Bev";#N/A,#N/A,FALSE,"PBX";#N/A,#N/A,FALSE,"Fitness";#N/A,#N/A,FALSE,"Golf #1";#N/A,#N/A,FALSE,"Golf #2 ";#N/A,#N/A,FALSE,"Tennis";#N/A,#N/A,FALSE,"BusCtr";#N/A,#N/A,FALSE,"InRoomVend";#N/A,#N/A,FALSE,"Retail #1";#N/A,#N/A,FALSE,"Retail #2";#N/A,#N/A,FALSE,"Parking";#N/A,#N/A,FALSE,"Rents&amp;Other";#N/A,#N/A,FALSE,"A&amp;G";#N/A,#N/A,FALSE,"A&amp;P";#N/A,#N/A,FALSE,"Comp";#N/A,#N/A,FALSE,"R&amp;M";#N/A,#N/A,FALSE,"Energy";#N/A,#N/A,FALSE,"Capital";#N/A,#N/A,FALSE,"Laundry";#N/A,#N/A,FALSE,"EmpCafe";#N/A,#N/A,FALSE,"PTEB";#N/A,#N/A,FALSE,"Rent Calc"}</definedName>
    <definedName name="wrn.Complete._.Budget." hidden="1">{#N/A,#N/A,FALSE,"PropInfo";#N/A,#N/A,FALSE,"Summary";#N/A,#N/A,FALSE,"Comparitive";#N/A,#N/A,FALSE,"RevSummary";#N/A,#N/A,FALSE,"Rooms";#N/A,#N/A,FALSE,"Van";#N/A,#N/A,FALSE,"F&amp;B Rev";#N/A,#N/A,FALSE,"Food";#N/A,#N/A,FALSE,"Bev";#N/A,#N/A,FALSE,"PBX";#N/A,#N/A,FALSE,"Fitness";#N/A,#N/A,FALSE,"Golf #1";#N/A,#N/A,FALSE,"Golf #2 ";#N/A,#N/A,FALSE,"Tennis";#N/A,#N/A,FALSE,"BusCtr";#N/A,#N/A,FALSE,"InRoomVend";#N/A,#N/A,FALSE,"Retail #1";#N/A,#N/A,FALSE,"Retail #2";#N/A,#N/A,FALSE,"Parking";#N/A,#N/A,FALSE,"Rents&amp;Other";#N/A,#N/A,FALSE,"A&amp;G";#N/A,#N/A,FALSE,"A&amp;P";#N/A,#N/A,FALSE,"Comp";#N/A,#N/A,FALSE,"R&amp;M";#N/A,#N/A,FALSE,"Energy";#N/A,#N/A,FALSE,"Capital";#N/A,#N/A,FALSE,"Laundry";#N/A,#N/A,FALSE,"EmpCafe";#N/A,#N/A,FALSE,"PTEB";#N/A,#N/A,FALSE,"Rent Calc"}</definedName>
    <definedName name="wrn.Complete.2" localSheetId="1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11" hidden="1">{"Cover",#N/A,FALSE,"Cover";"Summary",#N/A,FALSE,"Summarpage";"_x0006__x0006__x001A__x001A__x0006__x0006__x0010__x0010__x001B__x001B__x001A__x001A__x0007__x0007__x001A__x001A__x0008__x0008__x001A__x001A_	",#N/A,FALSE,"_x0007__x0007__x001A__x001A__x0008__x0008__x001A__x001A_		_x001A__x001A_
_x001A__x001A__x000B__x000B__x001A__x001A__x000C__x000C__x001A__x001A__x000D__x000D_";"
_x001A__x001A__x000B__x000B__x001A__x001A__x000C__x000C__x001A__x001A__x000D__x000D__x001A__x001A__x000E__x000E__x001A__x001A__x000F__x000F__x001A__x001A__x0010__x0010_",#N/A,FALSE,"_x001A__x001A__x000D__x000D__x001A__x001A__x000E__x000E__x001A__x001A__x000F__x000F_";"_x000F__x000F__x001A__x001A__x0010__x0010__x001A__x001A__x0011__x0011__x001A__x001A__x0012__x0012__x001A__x001A__x0013__x0013__x001A__x001A__x0014__x0014__x001A__x001A__x0015__x0015_",#N/A,FALSE,"_x001A__x001A__x0012__x0012__x001A__x001A__x0013__x0013__x001A__x001A__x0014__x0014__x001A__x001A__x0015__x0015__x001A_";"_x0014__x0014__x001A__x001A__x0015__x0015__x001A__x001A__x0016__x0016__x001A__x001A__x0017__x0017__x001A__x001A__x0018__x0018__x001A__x001A__x0019__x0019__x001A__x001A__x0006__x0006_",#N/A,FALSE,"_x001A__x001A__x0018__x0018__x001A__x001A__x0019__x0019__x001A__x001A__x0006__x0006__x0015__x0015__x0006__x0006__x001A__x001A__x0006__x0006__x0010__x0010__x001B_";"_x001A__x001A__x0006__x0006__x0015__x0015__x0006__x0006__x001A__x001A__x0006__x0006__x0010__x0010__x001B__x001B__x001A__x001A__x0007__x0007__x001A__x001A__x0008__x0008__x001A_",#N/A,FALSE,"_x0006__x0006__x0010__x0010__x001B__x001B__x001A__x001A__x0007__x0007__x001A__x001A__x0008__x0008__x001A__x001A_		_x001A__x001A_
_x001A__x001A__x000B__x000B_";"_x001A__x001A__x0008__x0008__x001A__x001A_	",#N/A,FALSE,"_x000C__x000C__x001A__x001A__x000D__x000D__x001A__x001A__x000E__x000E__x001A__x001A__x000F__x000F__x001A__x001A__x0010__x0010__x001A__x001A__x0011__x0011__x001A__x001A__x0012__x0012_";"_x001A__x001A__x000E__x000E__x001A__x001A__x000F__x000F__x001A__x001A__x0010__x0010__x001A_",#N/A,FALSE,"_x001A__x001A__x0012__x0012__x001A__x001A__x0013__x0013__x001A__x001A__x0014__x0014__x001A__x001A__x0015__x0015__x001A_";"_x0013__x0013__x001A__x001A__x0014__x0014__x001A__x001A__x0015__x0015__x001A__x001A__x0016__x0016__x001A__x001A__x0017__x0017__x001A__x001A__x0018__x0018__x001A__x001A__x0019__x0019_",#N/A,FALSE,"_x0017__x0017__x001A__x001A__x0018__x0018__x001A__x001A__x0019__x0019__x001A__x001A__x0006__x0006_Wood Earning";"Wood E",#N/A,FALSE,"Wood Products";"Pulp Production",#N/A,FALSE,"Pulp";"Pulp Earnings",#N/A,FALSE,"Pulp"}</definedName>
    <definedName name="wrn.Complete.3" hidden="1">{"Cover",#N/A,FALSE,"Cover";"Summary",#N/A,FALSE,"Summarpage";"_x0006__x0006__x001A__x001A__x0006__x0006__x0010__x0010__x001B__x001B__x001A__x001A__x0007__x0007__x001A__x001A__x0008__x0008__x001A__x001A_	",#N/A,FALSE,"_x0007__x0007__x001A__x001A__x0008__x0008__x001A__x001A_		_x001A__x001A_
_x001A__x001A__x000B__x000B__x001A__x001A__x000C__x000C__x001A__x001A__x000D__x000D_";"
_x001A__x001A__x000B__x000B__x001A__x001A__x000C__x000C__x001A__x001A__x000D__x000D__x001A__x001A__x000E__x000E__x001A__x001A__x000F__x000F__x001A__x001A__x0010__x0010_",#N/A,FALSE,"_x001A__x001A__x000D__x000D__x001A__x001A__x000E__x000E__x001A__x001A__x000F__x000F_";"_x000F__x000F__x001A__x001A__x0010__x0010__x001A__x001A__x0011__x0011__x001A__x001A__x0012__x0012__x001A__x001A__x0013__x0013__x001A__x001A__x0014__x0014__x001A__x001A__x0015__x0015_",#N/A,FALSE,"_x001A__x001A__x0012__x0012__x001A__x001A__x0013__x0013__x001A__x001A__x0014__x0014__x001A__x001A__x0015__x0015__x001A_";"_x0014__x0014__x001A__x001A__x0015__x0015__x001A__x001A__x0016__x0016__x001A__x001A__x0017__x0017__x001A__x001A__x0018__x0018__x001A__x001A__x0019__x0019__x001A__x001A__x0006__x0006_",#N/A,FALSE,"_x001A__x001A__x0018__x0018__x001A__x001A__x0019__x0019__x001A__x001A__x0006__x0006__x0015__x0015__x0006__x0006__x001A__x001A__x0006__x0006__x0010__x0010__x001B_";"_x001A__x001A__x0006__x0006__x0015__x0015__x0006__x0006__x001A__x001A__x0006__x0006__x0010__x0010__x001B__x001B__x001A__x001A__x0007__x0007__x001A__x001A__x0008__x0008__x001A_",#N/A,FALSE,"_x0006__x0006__x0010__x0010__x001B__x001B__x001A__x001A__x0007__x0007__x001A__x001A__x0008__x0008__x001A__x001A_		_x001A__x001A_
_x001A__x001A__x000B__x000B_";"_x001A__x001A__x0008__x0008__x001A__x001A_	",#N/A,FALSE,"_x000C__x000C__x001A__x001A__x000D__x000D__x001A__x001A__x000E__x000E__x001A__x001A__x000F__x000F__x001A__x001A__x0010__x0010__x001A__x001A__x0011__x0011__x001A__x001A__x0012__x0012_";"_x001A__x001A__x000E__x000E__x001A__x001A__x000F__x000F__x001A__x001A__x0010__x0010__x001A_",#N/A,FALSE,"_x001A__x001A__x0012__x0012__x001A__x001A__x0013__x0013__x001A__x001A__x0014__x0014__x001A__x001A__x0015__x0015__x001A_";"_x0013__x0013__x001A__x001A__x0014__x0014__x001A__x001A__x0015__x0015__x001A__x001A__x0016__x0016__x001A__x001A__x0017__x0017__x001A__x001A__x0018__x0018__x001A__x001A__x0019__x0019_",#N/A,FALSE,"_x0017__x0017__x001A__x001A__x0018__x0018__x001A__x001A__x0019__x0019__x001A__x001A__x0006__x0006_Wood Earning";"Wood E",#N/A,FALSE,"Wood Products";"Pulp Production",#N/A,FALSE,"Pulp";"Pulp Earnings",#N/A,FALSE,"Pulp"}</definedName>
    <definedName name="wrn.cotop." localSheetId="11" hidden="1">{"ReportTop",#N/A,FALSE,"report top"}</definedName>
    <definedName name="wrn.cotop." hidden="1">{"ReportTop",#N/A,FALSE,"report top"}</definedName>
    <definedName name="wrn.data." localSheetId="11" hidden="1">{"data",#N/A,FALSE,"INPUT"}</definedName>
    <definedName name="wrn.data." hidden="1">{"data",#N/A,FALSE,"INPUT"}</definedName>
    <definedName name="wrn.data5" localSheetId="11" hidden="1">{"data",#N/A,FALSE,"INPUT"}</definedName>
    <definedName name="wrn.data5" hidden="1">{"data",#N/A,FALSE,"INPUT"}</definedName>
    <definedName name="wrn.detail." localSheetId="11" hidden="1">{"detail1",#N/A,FALSE,"Sheet1";"detail2",#N/A,FALSE,"Sheet1";"detail3",#N/A,FALSE,"Sheet1";"detail4",#N/A,FALSE,"Sheet1";"detail5",#N/A,FALSE,"Sheet1";"detail6",#N/A,FALSE,"Sheet1";"detail7",#N/A,FALSE,"Sheet1";"detail8",#N/A,FALSE,"Sheet1";"detail9",#N/A,FALSE,"Sheet1"}</definedName>
    <definedName name="wrn.detail." hidden="1">{"detail1",#N/A,FALSE,"Sheet1";"detail2",#N/A,FALSE,"Sheet1";"detail3",#N/A,FALSE,"Sheet1";"detail4",#N/A,FALSE,"Sheet1";"detail5",#N/A,FALSE,"Sheet1";"detail6",#N/A,FALSE,"Sheet1";"detail7",#N/A,FALSE,"Sheet1";"detail8",#N/A,FALSE,"Sheet1";"detail9",#N/A,FALSE,"Sheet1"}</definedName>
    <definedName name="wrn.devdeal." localSheetId="11" hidden="1">{"top",#N/A,TRUE,"Detail";"next",#N/A,TRUE,"Detail";"then",#N/A,TRUE,"Detail";"and",#N/A,TRUE,"Detail";"inaddition",#N/A,TRUE,"Detail";"finally",#N/A,TRUE,"Detail"}</definedName>
    <definedName name="wrn.devdeal." hidden="1">{"top",#N/A,TRUE,"Detail";"next",#N/A,TRUE,"Detail";"then",#N/A,TRUE,"Detail";"and",#N/A,TRUE,"Detail";"inaddition",#N/A,TRUE,"Detail";"finally",#N/A,TRUE,"Detail"}</definedName>
    <definedName name="wrn.Development._.Budget." localSheetId="11" hidden="1">{"Year 1",#N/A,FALSE,"Budget";"Year 2",#N/A,FALSE,"Budget";"Year 3",#N/A,FALSE,"Budget";"Year 4",#N/A,FALSE,"Budget"}</definedName>
    <definedName name="wrn.Development._.Budget." hidden="1">{"Year 1",#N/A,FALSE,"Budget";"Year 2",#N/A,FALSE,"Budget";"Year 3",#N/A,FALSE,"Budget";"Year 4",#N/A,FALSE,"Budget"}</definedName>
    <definedName name="wrn.Earnings._.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ntire._.Package." localSheetId="11" hidden="1">{"Summary",#N/A,FALSE,"Assumptions";"Development 1 2",#N/A,FALSE,"Budget";"Operating Income",#N/A,FALSE,"Budget"}</definedName>
    <definedName name="wrn.Entire._.Package." hidden="1">{"Summary",#N/A,FALSE,"Assumptions";"Development 1 2",#N/A,FALSE,"Budget";"Operating Income",#N/A,FALSE,"Budget"}</definedName>
    <definedName name="wrn.ExecMgt._.Reports." localSheetId="11" hidden="1">{#N/A,#N/A,FALSE,"PropInfo";#N/A,#N/A,FALSE,"Summary";#N/A,#N/A,FALSE,"Comparitive";#N/A,#N/A,FALSE,"RevSummary"}</definedName>
    <definedName name="wrn.ExecMgt._.Reports." hidden="1">{#N/A,#N/A,FALSE,"PropInfo";#N/A,#N/A,FALSE,"Summary";#N/A,#N/A,FALSE,"Comparitive";#N/A,#N/A,FALSE,"RevSummary"}</definedName>
    <definedName name="wrn.Exhibits." localSheetId="11" hidden="1">{#N/A,#N/A,FALSE,"Historical";#N/A,#N/A,FALSE,"Adjusted";#N/A,#N/A,FALSE,"CAM Alloc.";#N/A,#N/A,FALSE,"Projected CAM"}</definedName>
    <definedName name="wrn.Exhibits." hidden="1">{#N/A,#N/A,FALSE,"Historical";#N/A,#N/A,FALSE,"Adjusted";#N/A,#N/A,FALSE,"CAM Alloc.";#N/A,#N/A,FALSE,"Projected CAM"}</definedName>
    <definedName name="wrn.ExitAndSalesAssumptions." localSheetId="11" hidden="1">{#N/A,#N/A,FALSE,"ExitStratigy"}</definedName>
    <definedName name="wrn.ExitAndSalesAssumptions." hidden="1">{#N/A,#N/A,FALSE,"ExitStratigy"}</definedName>
    <definedName name="wrn.FCB." localSheetId="11" hidden="1">{"FCB_ALL",#N/A,FALSE,"FCB"}</definedName>
    <definedName name="wrn.FCB." hidden="1">{"FCB_ALL",#N/A,FALSE,"FCB"}</definedName>
    <definedName name="wrn.fcb2" localSheetId="11" hidden="1">{"FCB_ALL",#N/A,FALSE,"FCB"}</definedName>
    <definedName name="wrn.fcb2" hidden="1">{"FCB_ALL",#N/A,FALSE,"FCB"}</definedName>
    <definedName name="wrn.FCG." localSheetId="11" hidden="1">{#N/A,#N/A,TRUE,"Title Page";#N/A,#N/A,TRUE,"Executive Summary";#N/A,#N/A,TRUE,"Cash Flow";#N/A,#N/A,TRUE,"Exp Detail";#N/A,#N/A,TRUE,"Pricing Matrix";#N/A,#N/A,TRUE,"Value Matrix";#N/A,#N/A,TRUE,"Assumptions";#N/A,#N/A,TRUE,"Vacant Space";#N/A,#N/A,TRUE,"2nd Generation";#N/A,#N/A,TRUE,"Existing vs Mkt";#N/A,#N/A,TRUE,"Expiration Schedule";#N/A,#N/A,TRUE,"Expiration Graph ";#N/A,#N/A,TRUE,"Residual - Marketing";#N/A,#N/A,TRUE,"Vacancy Detail"}</definedName>
    <definedName name="wrn.FCG." hidden="1">{#N/A,#N/A,TRUE,"Title Page";#N/A,#N/A,TRUE,"Executive Summary";#N/A,#N/A,TRUE,"Cash Flow";#N/A,#N/A,TRUE,"Exp Detail";#N/A,#N/A,TRUE,"Pricing Matrix";#N/A,#N/A,TRUE,"Value Matrix";#N/A,#N/A,TRUE,"Assumptions";#N/A,#N/A,TRUE,"Vacant Space";#N/A,#N/A,TRUE,"2nd Generation";#N/A,#N/A,TRUE,"Existing vs Mkt";#N/A,#N/A,TRUE,"Expiration Schedule";#N/A,#N/A,TRUE,"Expiration Graph ";#N/A,#N/A,TRUE,"Residual - Marketing";#N/A,#N/A,TRUE,"Vacancy Detail"}</definedName>
    <definedName name="wrn.FCG._.Express." localSheetId="11" hidden="1">{#N/A,#N/A,TRUE,"Title Page";#N/A,#N/A,TRUE,"Executive Summary";#N/A,#N/A,TRUE,"Assumptions";#N/A,#N/A,TRUE,"Footnotes";#N/A,#N/A,TRUE,"Narrative Assumptions";#N/A,#N/A,TRUE,"2nd Generation";#N/A,#N/A,TRUE,"Existing vs Mkt";#N/A,#N/A,TRUE,"Cash Flow";#N/A,#N/A,TRUE,"Residual - Marketing";#N/A,#N/A,TRUE,"Pricing Matrix";#N/A,#N/A,TRUE,"Expiration Schedule";#N/A,#N/A,TRUE,"Expiration Graph "}</definedName>
    <definedName name="wrn.FCG._.Express." hidden="1">{#N/A,#N/A,TRUE,"Title Page";#N/A,#N/A,TRUE,"Executive Summary";#N/A,#N/A,TRUE,"Assumptions";#N/A,#N/A,TRUE,"Footnotes";#N/A,#N/A,TRUE,"Narrative Assumptions";#N/A,#N/A,TRUE,"2nd Generation";#N/A,#N/A,TRUE,"Existing vs Mkt";#N/A,#N/A,TRUE,"Cash Flow";#N/A,#N/A,TRUE,"Residual - Marketing";#N/A,#N/A,TRUE,"Pricing Matrix";#N/A,#N/A,TRUE,"Expiration Schedule";#N/A,#N/A,TRUE,"Expiration Graph "}</definedName>
    <definedName name="wrn.FCG._.Full." localSheetId="11" hidden="1">{#N/A,#N/A,TRUE,"Title Page";#N/A,#N/A,TRUE,"Executive Summary";#N/A,#N/A,TRUE,"Assumptions";#N/A,#N/A,TRUE,"Footnotes";#N/A,#N/A,TRUE,"Narrative Assumptions";#N/A,#N/A,TRUE,"Vacant Space";#N/A,#N/A,TRUE,"2nd Generation";#N/A,#N/A,TRUE,"Existing vs Mkt";#N/A,#N/A,TRUE,"Cash Flow";#N/A,#N/A,TRUE,"Residual - Marketing";#N/A,#N/A,TRUE,"Pricing Matrix";#N/A,#N/A,TRUE,"Vacancy Detail";#N/A,#N/A,TRUE,"Expiration Schedule";#N/A,#N/A,TRUE,"Expiration Graph ";#N/A,#N/A,TRUE,"Value Matrix";#N/A,#N/A,TRUE,"Value Matrix (2)";#N/A,#N/A,TRUE,"GI Detail";#N/A,#N/A,TRUE,"Exp Detail";#N/A,#N/A,TRUE,"ALease-up Schedule"}</definedName>
    <definedName name="wrn.FCG._.Full." hidden="1">{#N/A,#N/A,TRUE,"Title Page";#N/A,#N/A,TRUE,"Executive Summary";#N/A,#N/A,TRUE,"Assumptions";#N/A,#N/A,TRUE,"Footnotes";#N/A,#N/A,TRUE,"Narrative Assumptions";#N/A,#N/A,TRUE,"Vacant Space";#N/A,#N/A,TRUE,"2nd Generation";#N/A,#N/A,TRUE,"Existing vs Mkt";#N/A,#N/A,TRUE,"Cash Flow";#N/A,#N/A,TRUE,"Residual - Marketing";#N/A,#N/A,TRUE,"Pricing Matrix";#N/A,#N/A,TRUE,"Vacancy Detail";#N/A,#N/A,TRUE,"Expiration Schedule";#N/A,#N/A,TRUE,"Expiration Graph ";#N/A,#N/A,TRUE,"Value Matrix";#N/A,#N/A,TRUE,"Value Matrix (2)";#N/A,#N/A,TRUE,"GI Detail";#N/A,#N/A,TRUE,"Exp Detail";#N/A,#N/A,TRUE,"ALease-up Schedule"}</definedName>
    <definedName name="wrn.Feb98." localSheetId="11" hidden="1">{"sheet a",#N/A,FALSE,"A";"2 9 casflow",#N/A,FALSE,"B"}</definedName>
    <definedName name="wrn.Feb98." hidden="1">{"sheet a",#N/A,FALSE,"A";"2 9 casflow",#N/A,FALSE,"B"}</definedName>
    <definedName name="wrn.FOschedules." localSheetId="11" hidden="1">{"FOschedule1",#N/A,FALSE,"Sheet1";"FOschedule2",#N/A,FALSE,"Sheet1";"FOschedule3",#N/A,FALSE,"Sheet1"}</definedName>
    <definedName name="wrn.FOschedules." hidden="1">{"FOschedule1",#N/A,FALSE,"Sheet1";"FOschedule2",#N/A,FALSE,"Sheet1";"FOschedule3",#N/A,FALSE,"Sheet1"}</definedName>
    <definedName name="wrn.Full._.Report." localSheetId="11" hidden="1">{#N/A,#N/A,FALSE,"Summary";#N/A,#N/A,FALSE,"Project Summary";#N/A,#N/A,FALSE,"Master Developer Cash Flow";#N/A,#N/A,FALSE,"Development Cost Allocation";#N/A,#N/A,FALSE,"Costs";#N/A,#N/A,FALSE,"Pad Fees";#N/A,#N/A,FALSE,"Parking Budget";#N/A,#N/A,FALSE,"Podium Monthly Development #1";#N/A,#N/A,FALSE,"Podium Monthly Development #2";#N/A,#N/A,FALSE,"Podium Quarterly Development Bu";#N/A,#N/A,FALSE,"Parking Cash Flow";#N/A,#N/A,FALSE,"Parking Assumptions";#N/A,#N/A,FALSE,"Bond Debt Service";#N/A,#N/A,FALSE,"Bond Shortfall";#N/A,#N/A,FALSE,"Retail Development Budget";#N/A,#N/A,FALSE,"Retail Monthly Development Budg";#N/A,#N/A,FALSE,"Retail Quarterly Development Bu";#N/A,#N/A,FALSE,"Retail Cash Flow";#N/A,#N/A,FALSE,"Retail Cash Flow";#N/A,#N/A,FALSE,"Retail Assumptions";#N/A,#N/A,FALSE,"Retail Debt Service";#N/A,#N/A,FALSE,"Office Development Budget";#N/A,#N/A,FALSE,"Office Monthly Development Budg";#N/A,#N/A,FALSE,"Office Quarterly Development Bu";#N/A,#N/A,FALSE,"Office Cash Flow";#N/A,#N/A,FALSE,"Office Assumptions";#N/A,#N/A,FALSE,"Office Debt Service";#N/A,#N/A,FALSE,"Hotel Development Budget";#N/A,#N/A,FALSE,"Hotel Monthly Development Budge";#N/A,#N/A,FALSE,"Hotel Quarterly Development Bud";#N/A,#N/A,FALSE,"Hotel Cash Flow";#N/A,#N/A,FALSE,"Hotel Assumptions";#N/A,#N/A,FALSE,"Hotel Debt Service";#N/A,#N/A,FALSE,"Demographics-Hotel";#N/A,#N/A,FALSE,"Land Lease NPV"}</definedName>
    <definedName name="wrn.Full._.Report." hidden="1">{#N/A,#N/A,FALSE,"Summary";#N/A,#N/A,FALSE,"Project Summary";#N/A,#N/A,FALSE,"Master Developer Cash Flow";#N/A,#N/A,FALSE,"Development Cost Allocation";#N/A,#N/A,FALSE,"Costs";#N/A,#N/A,FALSE,"Pad Fees";#N/A,#N/A,FALSE,"Parking Budget";#N/A,#N/A,FALSE,"Podium Monthly Development #1";#N/A,#N/A,FALSE,"Podium Monthly Development #2";#N/A,#N/A,FALSE,"Podium Quarterly Development Bu";#N/A,#N/A,FALSE,"Parking Cash Flow";#N/A,#N/A,FALSE,"Parking Assumptions";#N/A,#N/A,FALSE,"Bond Debt Service";#N/A,#N/A,FALSE,"Bond Shortfall";#N/A,#N/A,FALSE,"Retail Development Budget";#N/A,#N/A,FALSE,"Retail Monthly Development Budg";#N/A,#N/A,FALSE,"Retail Quarterly Development Bu";#N/A,#N/A,FALSE,"Retail Cash Flow";#N/A,#N/A,FALSE,"Retail Cash Flow";#N/A,#N/A,FALSE,"Retail Assumptions";#N/A,#N/A,FALSE,"Retail Debt Service";#N/A,#N/A,FALSE,"Office Development Budget";#N/A,#N/A,FALSE,"Office Monthly Development Budg";#N/A,#N/A,FALSE,"Office Quarterly Development Bu";#N/A,#N/A,FALSE,"Office Cash Flow";#N/A,#N/A,FALSE,"Office Assumptions";#N/A,#N/A,FALSE,"Office Debt Service";#N/A,#N/A,FALSE,"Hotel Development Budget";#N/A,#N/A,FALSE,"Hotel Monthly Development Budge";#N/A,#N/A,FALSE,"Hotel Quarterly Development Bud";#N/A,#N/A,FALSE,"Hotel Cash Flow";#N/A,#N/A,FALSE,"Hotel Assumptions";#N/A,#N/A,FALSE,"Hotel Debt Service";#N/A,#N/A,FALSE,"Demographics-Hotel";#N/A,#N/A,FALSE,"Land Lease NPV"}</definedName>
    <definedName name="wrn.Full_Template." localSheetId="11"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wrn.Full_Template."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wrn.Garage." localSheetId="11" hidden="1">{#N/A,#N/A,FALSE,"Garage Assumpt 1";#N/A,#N/A,FALSE,"Garage Op Proj";#N/A,#N/A,FALSE,"Hist I&amp;E";#N/A,#N/A,FALSE,"Garage Lease"}</definedName>
    <definedName name="wrn.Garage." hidden="1">{#N/A,#N/A,FALSE,"Garage Assumpt 1";#N/A,#N/A,FALSE,"Garage Op Proj";#N/A,#N/A,FALSE,"Hist I&amp;E";#N/A,#N/A,FALSE,"Garage Lease"}</definedName>
    <definedName name="wrn.GSA._.PRINT." localSheetId="11" hidden="1">{#N/A,#N/A,FALSE,"DEV COSTS";#N/A,#N/A,FALSE,"10-YR C. F."}</definedName>
    <definedName name="wrn.GSA._.PRINT." hidden="1">{#N/A,#N/A,FALSE,"DEV COSTS";#N/A,#N/A,FALSE,"10-YR C. F."}</definedName>
    <definedName name="wrn.gsa._PRINT5" localSheetId="11" hidden="1">{#N/A,#N/A,FALSE,"DEV COSTS";#N/A,#N/A,FALSE,"10-YR C. F."}</definedName>
    <definedName name="wrn.gsa._PRINT5" hidden="1">{#N/A,#N/A,FALSE,"DEV COSTS";#N/A,#N/A,FALSE,"10-YR C. F."}</definedName>
    <definedName name="wrn.heathrow." localSheetId="11" hidden="1">{#N/A,#N/A,FALSE,"Summary";#N/A,#N/A,FALSE,"Sales";#N/A,#N/A,FALSE,"Costs";#N/A,#N/A,FALSE,"1996";#N/A,#N/A,FALSE,"1997";#N/A,#N/A,FALSE,"1998";#N/A,#N/A,FALSE,"1999";#N/A,#N/A,FALSE,"2000";#N/A,#N/A,FALSE,"2001";#N/A,#N/A,FALSE,"2002";#N/A,#N/A,FALSE,"2003";#N/A,#N/A,FALSE,"2004";#N/A,#N/A,FALSE,"2005";#N/A,#N/A,FALSE,"2006"}</definedName>
    <definedName name="wrn.heathrow." hidden="1">{#N/A,#N/A,FALSE,"Summary";#N/A,#N/A,FALSE,"Sales";#N/A,#N/A,FALSE,"Costs";#N/A,#N/A,FALSE,"1996";#N/A,#N/A,FALSE,"1997";#N/A,#N/A,FALSE,"1998";#N/A,#N/A,FALSE,"1999";#N/A,#N/A,FALSE,"2000";#N/A,#N/A,FALSE,"2001";#N/A,#N/A,FALSE,"2002";#N/A,#N/A,FALSE,"2003";#N/A,#N/A,FALSE,"2004";#N/A,#N/A,FALSE,"2005";#N/A,#N/A,FALSE,"2006"}</definedName>
    <definedName name="wrn.Hist._.InE." localSheetId="11" hidden="1">{#N/A,#N/A,FALSE,"Hist I&amp;E - Consol";#N/A,#N/A,FALSE,"Hist I&amp;E - Lakes";#N/A,#N/A,FALSE,"Hist I&amp;E - Chabot";#N/A,#N/A,FALSE,"Hist I&amp;E - Diablo"}</definedName>
    <definedName name="wrn.Hist._.InE." hidden="1">{#N/A,#N/A,FALSE,"Hist I&amp;E - Consol";#N/A,#N/A,FALSE,"Hist I&amp;E - Lakes";#N/A,#N/A,FALSE,"Hist I&amp;E - Chabot";#N/A,#N/A,FALSE,"Hist I&amp;E - Diablo"}</definedName>
    <definedName name="wrn.Hist._.InE2." localSheetId="11" hidden="1">{#N/A,#N/A,FALSE,"Hist I&amp;E - #2";#N/A,#N/A,FALSE,"Hist I&amp;E - #3";#N/A,#N/A,FALSE,"Hist I&amp;E - #4";#N/A,#N/A,FALSE,"Hist I&amp;E - #5";#N/A,#N/A,FALSE,"Hist I&amp;E - #6";#N/A,#N/A,FALSE,"Hist I&amp;E - #8";#N/A,#N/A,FALSE,"Hist I&amp;E - #9";#N/A,#N/A,FALSE,"Hist I&amp;E - #10"}</definedName>
    <definedName name="wrn.Hist._.InE2." hidden="1">{#N/A,#N/A,FALSE,"Hist I&amp;E - #2";#N/A,#N/A,FALSE,"Hist I&amp;E - #3";#N/A,#N/A,FALSE,"Hist I&amp;E - #4";#N/A,#N/A,FALSE,"Hist I&amp;E - #5";#N/A,#N/A,FALSE,"Hist I&amp;E - #6";#N/A,#N/A,FALSE,"Hist I&amp;E - #8";#N/A,#N/A,FALSE,"Hist I&amp;E - #9";#N/A,#N/A,FALSE,"Hist I&amp;E - #10"}</definedName>
    <definedName name="wrn.Hold._.Sell." localSheetId="11" hidden="1">{#N/A,#N/A,FALSE,"13Residual 2007";#N/A,#N/A,FALSE,"14Residual 2008";#N/A,#N/A,FALSE,"15Residual 2009";#N/A,#N/A,FALSE,"16Residual 2010";#N/A,#N/A,FALSE,"17Residual 2011";#N/A,#N/A,FALSE,"18Hold Disposition Matrix";#N/A,#N/A,FALSE,"19Other Disposition Matrix"}</definedName>
    <definedName name="wrn.Hold._.Sell." hidden="1">{#N/A,#N/A,FALSE,"13Residual 2007";#N/A,#N/A,FALSE,"14Residual 2008";#N/A,#N/A,FALSE,"15Residual 2009";#N/A,#N/A,FALSE,"16Residual 2010";#N/A,#N/A,FALSE,"17Residual 2011";#N/A,#N/A,FALSE,"18Hold Disposition Matrix";#N/A,#N/A,FALSE,"19Other Disposition Matrix"}</definedName>
    <definedName name="wrn.Income._.Statements." localSheetId="11" hidden="1">{"Annual Income",#N/A,FALSE,"Revenues";"Quarter Income",#N/A,FALSE,"Revenues"}</definedName>
    <definedName name="wrn.Income._.Statements." hidden="1">{"Annual Income",#N/A,FALSE,"Revenues";"Quarter Income",#N/A,FALSE,"Revenues"}</definedName>
    <definedName name="wrn.IPO._.Valuation." localSheetId="11" hidden="1">{"assumptions",#N/A,FALSE,"Scenario 1";"valuation",#N/A,FALSE,"Scenario 1"}</definedName>
    <definedName name="wrn.IPO._.Valuation." hidden="1">{"assumptions",#N/A,FALSE,"Scenario 1";"valuation",#N/A,FALSE,"Scenario 1"}</definedName>
    <definedName name="wrn.jan._.98." localSheetId="11" hidden="1">{"sheet a",#N/A,FALSE,"A";"sheet b 1",#N/A,FALSE,"B";"sheet b 2",#N/A,FALSE,"B"}</definedName>
    <definedName name="wrn.jan._.98." hidden="1">{"sheet a",#N/A,FALSE,"A";"sheet b 1",#N/A,FALSE,"B";"sheet b 2",#N/A,FALSE,"B"}</definedName>
    <definedName name="wrn.JODM._.Graphs." localSheetId="11" hidden="1">{"graph",#N/A,FALSE,"WWJU";"graph",#N/A,FALSE,"WWSEM";"graph",#N/A,FALSE,"GOMJU";"graph",#N/A,FALSE,"GOMSEM";"graph",#N/A,FALSE,"NSJU";"graph",#N/A,FALSE,"NSSEM";"graph",#N/A,FALSE,"WAJU";"graph",#N/A,FALSE,"STOCKPRI";"graph",#N/A,FALSE,"CFTEV";"graph",#N/A,FALSE,"NAV-RCV";"graph",#N/A,FALSE,"CRUDEWW"}</definedName>
    <definedName name="wrn.JODM._.Graphs." hidden="1">{"graph",#N/A,FALSE,"WWJU";"graph",#N/A,FALSE,"WWSEM";"graph",#N/A,FALSE,"GOMJU";"graph",#N/A,FALSE,"GOMSEM";"graph",#N/A,FALSE,"NSJU";"graph",#N/A,FALSE,"NSSEM";"graph",#N/A,FALSE,"WAJU";"graph",#N/A,FALSE,"STOCKPRI";"graph",#N/A,FALSE,"CFTEV";"graph",#N/A,FALSE,"NAV-RCV";"graph",#N/A,FALSE,"CRUDEWW"}</definedName>
    <definedName name="wrn.LBO._.Summary." localSheetId="11" hidden="1">{"LBO Summary",#N/A,FALSE,"Summary"}</definedName>
    <definedName name="wrn.LBO._.Summary." hidden="1">{"LBO Summary",#N/A,FALSE,"Summary"}</definedName>
    <definedName name="wrn.Leasing._.Variance." localSheetId="11" hidden="1">{#N/A,#N/A,FALSE,"Leasing 6A"}</definedName>
    <definedName name="wrn.Leasing._.Variance." hidden="1">{#N/A,#N/A,FALSE,"Leasing 6A"}</definedName>
    <definedName name="wrn.LoanInformation." localSheetId="11" hidden="1">{#N/A,#N/A,FALSE,"LoanAssumptions"}</definedName>
    <definedName name="wrn.LoanInformation." hidden="1">{#N/A,#N/A,FALSE,"LoanAssumptions"}</definedName>
    <definedName name="wrn.Ltd._.Service._.Budget." localSheetId="11" hidden="1">{#N/A,#N/A,FALSE,"PropInfo";#N/A,#N/A,FALSE,"Summary";#N/A,#N/A,FALSE,"Comparitive";#N/A,#N/A,FALSE,"RevSummary";#N/A,#N/A,FALSE,"Rooms";#N/A,#N/A,FALSE,"PBX";#N/A,#N/A,FALSE,"Rents&amp;Other";#N/A,#N/A,FALSE,"A&amp;G";#N/A,#N/A,FALSE,"A&amp;P";#N/A,#N/A,FALSE,"Comp";#N/A,#N/A,FALSE,"R&amp;M";#N/A,#N/A,FALSE,"Energy";#N/A,#N/A,FALSE,"Capital";#N/A,#N/A,FALSE,"Laundry";#N/A,#N/A,FALSE,"PTEB";#N/A,#N/A,FALSE,"Rent Calc"}</definedName>
    <definedName name="wrn.Ltd._.Service._.Budget." hidden="1">{#N/A,#N/A,FALSE,"PropInfo";#N/A,#N/A,FALSE,"Summary";#N/A,#N/A,FALSE,"Comparitive";#N/A,#N/A,FALSE,"RevSummary";#N/A,#N/A,FALSE,"Rooms";#N/A,#N/A,FALSE,"PBX";#N/A,#N/A,FALSE,"Rents&amp;Other";#N/A,#N/A,FALSE,"A&amp;G";#N/A,#N/A,FALSE,"A&amp;P";#N/A,#N/A,FALSE,"Comp";#N/A,#N/A,FALSE,"R&amp;M";#N/A,#N/A,FALSE,"Energy";#N/A,#N/A,FALSE,"Capital";#N/A,#N/A,FALSE,"Laundry";#N/A,#N/A,FALSE,"PTEB";#N/A,#N/A,FALSE,"Rent Calc"}</definedName>
    <definedName name="wrn.Market._.Values." localSheetId="11" hidden="1">{#N/A,#N/A,TRUE,"10 Yr Hold";#N/A,#N/A,TRUE,"7 Yr Hold";#N/A,#N/A,TRUE,"5 Yr Hold";#N/A,#N/A,TRUE,"3 Yr Hold"}</definedName>
    <definedName name="wrn.Market._.Values." hidden="1">{#N/A,#N/A,TRUE,"10 Yr Hold";#N/A,#N/A,TRUE,"7 Yr Hold";#N/A,#N/A,TRUE,"5 Yr Hold";#N/A,#N/A,TRUE,"3 Yr Hold"}</definedName>
    <definedName name="wrn.Marketing." localSheetId="11" hidden="1">{#N/A,#N/A,FALSE,"2Assumptions";#N/A,#N/A,FALSE,"3Cash Flow";#N/A,#N/A,FALSE,"I&amp;E";#N/A,#N/A,FALSE,"I&amp;E (2)";#N/A,#N/A,FALSE,"10Vacancy Matrix";#N/A,#N/A,FALSE,"11Expiration Schedule"}</definedName>
    <definedName name="wrn.Marketing." hidden="1">{#N/A,#N/A,FALSE,"2Assumptions";#N/A,#N/A,FALSE,"3Cash Flow";#N/A,#N/A,FALSE,"I&amp;E";#N/A,#N/A,FALSE,"I&amp;E (2)";#N/A,#N/A,FALSE,"10Vacancy Matrix";#N/A,#N/A,FALSE,"11Expiration Schedule"}</definedName>
    <definedName name="wrn.MATRICES._.and._.CFs." localSheetId="11" hidden="1">{#N/A,#N/A,FALSE,"Assumptions";#N/A,#N/A,FALSE,"Consol CF";#N/A,#N/A,FALSE,"matx B4 DS";#N/A,#N/A,FALSE,"Hacienda CF";#N/A,#N/A,FALSE,"matx B4 DS Hac";#N/A,#N/A,FALSE,"Chabot CF";#N/A,#N/A,FALSE,"matx B4 DS Chabot";#N/A,#N/A,FALSE,"Diablo CF";#N/A,#N/A,FALSE,"matx B4 DS Diablo"}</definedName>
    <definedName name="wrn.MATRICES._.and._.CFs." hidden="1">{#N/A,#N/A,FALSE,"Assumptions";#N/A,#N/A,FALSE,"Consol CF";#N/A,#N/A,FALSE,"matx B4 DS";#N/A,#N/A,FALSE,"Hacienda CF";#N/A,#N/A,FALSE,"matx B4 DS Hac";#N/A,#N/A,FALSE,"Chabot CF";#N/A,#N/A,FALSE,"matx B4 DS Chabot";#N/A,#N/A,FALSE,"Diablo CF";#N/A,#N/A,FALSE,"matx B4 DS Diablo"}</definedName>
    <definedName name="wrn.MATRICIES._.ONLY." localSheetId="11" hidden="1">{#N/A,#N/A,FALSE,"matx B4 DS";#N/A,#N/A,FALSE,"matx B4 DS Hac";#N/A,#N/A,FALSE,"matx B4 DS Chabot";#N/A,#N/A,FALSE,"matx B4 DS Diablo"}</definedName>
    <definedName name="wrn.MATRICIES._.ONLY." hidden="1">{#N/A,#N/A,FALSE,"matx B4 DS";#N/A,#N/A,FALSE,"matx B4 DS Hac";#N/A,#N/A,FALSE,"matx B4 DS Chabot";#N/A,#N/A,FALSE,"matx B4 DS Diablo"}</definedName>
    <definedName name="wrn.MODEL." localSheetId="11" hidden="1">{"IS",#N/A,FALSE,"Income Statement";"ISR",#N/A,FALSE,"Income Statement Ratios";"BS",#N/A,FALSE,"Balance Sheet";"BSR",#N/A,FALSE,"Balance Sheet Ratios";"CF",#N/A,FALSE,"Cash Flow";"SALES",#N/A,FALSE,"Sales Analysis";"RR",#N/A,FALSE,"Recent Results"}</definedName>
    <definedName name="wrn.MODEL." hidden="1">{"IS",#N/A,FALSE,"Income Statement";"ISR",#N/A,FALSE,"Income Statement Ratios";"BS",#N/A,FALSE,"Balance Sheet";"BSR",#N/A,FALSE,"Balance Sheet Ratios";"CF",#N/A,FALSE,"Cash Flow";"SALES",#N/A,FALSE,"Sales Analysis";"RR",#N/A,FALSE,"Recent Results"}</definedName>
    <definedName name="wrn.MODEL5" localSheetId="11" hidden="1">{"IS",#N/A,FALSE,"Income Statement";"ISR",#N/A,FALSE,"Income Statement Ratios";"BS",#N/A,FALSE,"Balance Sheet";"BSR",#N/A,FALSE,"Balance Sheet Ratios";"CF",#N/A,FALSE,"Cash Flow";"SALES",#N/A,FALSE,"Sales Analysis";"RR",#N/A,FALSE,"Recent Results"}</definedName>
    <definedName name="wrn.MODEL5" hidden="1">{"IS",#N/A,FALSE,"Income Statement";"ISR",#N/A,FALSE,"Income Statement Ratios";"BS",#N/A,FALSE,"Balance Sheet";"BSR",#N/A,FALSE,"Balance Sheet Ratios";"CF",#N/A,FALSE,"Cash Flow";"SALES",#N/A,FALSE,"Sales Analysis";"RR",#N/A,FALSE,"Recent Results"}</definedName>
    <definedName name="wrn.monthly._.financial." localSheetId="11" hidden="1">{#N/A,#N/A,FALSE,"SUMMARY 4a";#N/A,#N/A,FALSE,"GBA 4b";#N/A,#N/A,FALSE,"TENANT 4c";#N/A,#N/A,FALSE,"BUDGET DETAIL";#N/A,#N/A,FALSE,"PRO FORMA"}</definedName>
    <definedName name="wrn.monthly._.financial." hidden="1">{#N/A,#N/A,FALSE,"SUMMARY 4a";#N/A,#N/A,FALSE,"GBA 4b";#N/A,#N/A,FALSE,"TENANT 4c";#N/A,#N/A,FALSE,"BUDGET DETAIL";#N/A,#N/A,FALSE,"PRO FORMA"}</definedName>
    <definedName name="wrn.MonthlyRentRoll." localSheetId="11" hidden="1">{"MonthlyRentRoll",#N/A,FALSE,"RentRoll"}</definedName>
    <definedName name="wrn.MonthlyRentRoll." hidden="1">{"MonthlyRentRoll",#N/A,FALSE,"RentRoll"}</definedName>
    <definedName name="wrn.ODB." localSheetId="11" hidden="1">{"ODB",#N/A,FALSE,"Hold Scenario"}</definedName>
    <definedName name="wrn.ODB." hidden="1">{"ODB",#N/A,FALSE,"Hold Scenario"}</definedName>
    <definedName name="wrn.office." localSheetId="11" hidden="1">{#N/A,#N/A,FALSE,"Pad Fees";#N/A,#N/A,FALSE,"Parking Budget";#N/A,#N/A,FALSE,"Parking Cash Flow";#N/A,#N/A,FALSE,"Parking Assumptions Summary";#N/A,#N/A,FALSE,"Assumptions-M";#N/A,#N/A,FALSE,"Assumptions-T";#N/A,#N/A,FALSE,"Assumptions-W";#N/A,#N/A,FALSE,"Assumptions-R";#N/A,#N/A,FALSE,"Assumptions-F";#N/A,#N/A,FALSE,"Assumptions-Sa";#N/A,#N/A,FALSE,"Assumptions-Su";#N/A,#N/A,FALSE,"Bond Debt Service";#N/A,#N/A,FALSE,"Bond Shortfall"}</definedName>
    <definedName name="wrn.office." hidden="1">{#N/A,#N/A,FALSE,"Pad Fees";#N/A,#N/A,FALSE,"Parking Budget";#N/A,#N/A,FALSE,"Parking Cash Flow";#N/A,#N/A,FALSE,"Parking Assumptions Summary";#N/A,#N/A,FALSE,"Assumptions-M";#N/A,#N/A,FALSE,"Assumptions-T";#N/A,#N/A,FALSE,"Assumptions-W";#N/A,#N/A,FALSE,"Assumptions-R";#N/A,#N/A,FALSE,"Assumptions-F";#N/A,#N/A,FALSE,"Assumptions-Sa";#N/A,#N/A,FALSE,"Assumptions-Su";#N/A,#N/A,FALSE,"Bond Debt Service";#N/A,#N/A,FALSE,"Bond Shortfall"}</definedName>
    <definedName name="wrn.ontario." localSheetId="11" hidden="1">{"page1",#N/A,FALSE,"sheet 1";"Page2",#N/A,FALSE,"sheet 1";"page3",#N/A,FALSE,"sheet 1";"page4",#N/A,FALSE,"sheet 1"}</definedName>
    <definedName name="wrn.ontario." hidden="1">{"page1",#N/A,FALSE,"sheet 1";"Page2",#N/A,FALSE,"sheet 1";"page3",#N/A,FALSE,"sheet 1";"page4",#N/A,FALSE,"sheet 1"}</definedName>
    <definedName name="wrn.OperatingAssumtions." localSheetId="11" hidden="1">{#N/A,#N/A,FALSE,"OperatingAssumptions"}</definedName>
    <definedName name="wrn.OperatingAssumtions." hidden="1">{#N/A,#N/A,FALSE,"OperatingAssumptions"}</definedName>
    <definedName name="wrn.p3" localSheetId="11"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wrn.p3"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wrn.Package." localSheetId="11" hidden="1">{#N/A,#N/A,FALSE,"Executive Summary";#N/A,#N/A,FALSE,"Assumptions";#N/A,#N/A,FALSE,"Cash Flow";#N/A,#N/A,FALSE,"I&amp;E ";#N/A,#N/A,FALSE,"Occupancy Cost";#N/A,#N/A,FALSE,"Vacancy (Mall)";#N/A,#N/A,FALSE,"Expiration Schedule";#N/A,#N/A,FALSE,"Expiration Graph ";#N/A,#N/A,FALSE,"sales graph";#N/A,#N/A,FALSE,"Vacant rents";#N/A,#N/A,FALSE,"Hist Sales";#N/A,#N/A,FALSE,"Monthly Sales";#N/A,#N/A,FALSE,"Rent Roll"}</definedName>
    <definedName name="wrn.Package." hidden="1">{#N/A,#N/A,FALSE,"Executive Summary";#N/A,#N/A,FALSE,"Assumptions";#N/A,#N/A,FALSE,"Cash Flow";#N/A,#N/A,FALSE,"I&amp;E ";#N/A,#N/A,FALSE,"Occupancy Cost";#N/A,#N/A,FALSE,"Vacancy (Mall)";#N/A,#N/A,FALSE,"Expiration Schedule";#N/A,#N/A,FALSE,"Expiration Graph ";#N/A,#N/A,FALSE,"sales graph";#N/A,#N/A,FALSE,"Vacant rents";#N/A,#N/A,FALSE,"Hist Sales";#N/A,#N/A,FALSE,"Monthly Sales";#N/A,#N/A,FALSE,"Rent Roll"}</definedName>
    <definedName name="wrn.PARTIAL." localSheetId="11" hidden="1">{"new",#N/A,FALSE,"D";"PROFORMA",#N/A,FALSE,"A";"partial 1",#N/A,FALSE,"B";"partial 2",#N/A,FALSE,"B";"partial 3",#N/A,FALSE,"B";"SMALL CF 1",#N/A,FALSE,"C"}</definedName>
    <definedName name="wrn.PARTIAL." hidden="1">{"new",#N/A,FALSE,"D";"PROFORMA",#N/A,FALSE,"A";"partial 1",#N/A,FALSE,"B";"partial 2",#N/A,FALSE,"B";"partial 3",#N/A,FALSE,"B";"SMALL CF 1",#N/A,FALSE,"C"}</definedName>
    <definedName name="wrn.PLX." localSheetId="11" hidden="1">{"cred comp",#N/A,FALSE,"Comparable Credit Analysis";"IS",#N/A,FALSE,"IS";"Sensitivity",#N/A,FALSE,"Sensitivity";"BS",#N/A,FALSE,"BS";"Bond Summary",#N/A,FALSE,"B Summary";"AD",#N/A,FALSE,"Accretion";"NAV",#N/A,FALSE,"NAV";"SU",#N/A,FALSE,"S&amp;U";"acq. study",#N/A,FALSE,"Acq. Study";"F Charges",#N/A,FALSE,"Fixed Charges"}</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R_TRIAL_BALANCE." localSheetId="11"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wrn.PR_TRIAL_BALANCE."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wrn.Presentation." localSheetId="11" hidden="1">{#N/A,#N/A,TRUE,"Summary";"AnnualRentRoll",#N/A,TRUE,"RentRoll";#N/A,#N/A,TRUE,"ExitStratigy";#N/A,#N/A,TRUE,"OperatingAssumptions"}</definedName>
    <definedName name="wrn.Presentation." hidden="1">{#N/A,#N/A,TRUE,"Summary";"AnnualRentRoll",#N/A,TRUE,"RentRoll";#N/A,#N/A,TRUE,"ExitStratigy";#N/A,#N/A,TRUE,"OperatingAssumptions"}</definedName>
    <definedName name="wrn.Pricing._.Strategy." localSheetId="11" hidden="1">{#N/A,#N/A,FALSE,"1Summary";#N/A,#N/A,FALSE,"2Assumptions";#N/A,#N/A,FALSE,"3Cash Flow";#N/A,#N/A,FALSE,"4Year 1 Reconciliation";#N/A,#N/A,FALSE,"5Residual";#N/A,#N/A,FALSE,"6Residual (Year 20)";#N/A,#N/A,FALSE,"7Financing Sensitivity";#N/A,#N/A,FALSE,"8Residual Sensitivity";#N/A,#N/A,FALSE,"9Pricing Matrix";#N/A,#N/A,FALSE,"10Vacancy Matrix";#N/A,#N/A,FALSE,"11Expiration Schedule";#N/A,#N/A,FALSE,"12Lease-up Schedule"}</definedName>
    <definedName name="wrn.Pricing._.Strategy." hidden="1">{#N/A,#N/A,FALSE,"1Summary";#N/A,#N/A,FALSE,"2Assumptions";#N/A,#N/A,FALSE,"3Cash Flow";#N/A,#N/A,FALSE,"4Year 1 Reconciliation";#N/A,#N/A,FALSE,"5Residual";#N/A,#N/A,FALSE,"6Residual (Year 20)";#N/A,#N/A,FALSE,"7Financing Sensitivity";#N/A,#N/A,FALSE,"8Residual Sensitivity";#N/A,#N/A,FALSE,"9Pricing Matrix";#N/A,#N/A,FALSE,"10Vacancy Matrix";#N/A,#N/A,FALSE,"11Expiration Schedule";#N/A,#N/A,FALSE,"12Lease-up Schedule"}</definedName>
    <definedName name="wrn.print." localSheetId="11" hidden="1">{"Assump",#N/A,TRUE,"Proforma";"first",#N/A,TRUE,"Proforma";"second",#N/A,TRUE,"Proforma";"lease1",#N/A,TRUE,"Proforma";"lease2",#N/A,TRUE,"Proforma"}</definedName>
    <definedName name="wrn.print." hidden="1">{"Assump",#N/A,TRUE,"Proforma";"first",#N/A,TRUE,"Proforma";"second",#N/A,TRUE,"Proforma";"lease1",#N/A,TRUE,"Proforma";"lease2",#N/A,TRUE,"Proforma"}</definedName>
    <definedName name="wrn.Print._.4." localSheetId="11" hidden="1">{"Outflow 1",#N/A,FALSE,"Outflows-Inflows";"Outflow 2",#N/A,FALSE,"Outflows-Inflows";"Inflow 1",#N/A,FALSE,"Outflows-Inflows";"Inflow 2",#N/A,FALSE,"Outflows-Inflows"}</definedName>
    <definedName name="wrn.Print._.4." hidden="1">{"Outflow 1",#N/A,FALSE,"Outflows-Inflows";"Outflow 2",#N/A,FALSE,"Outflows-Inflows";"Inflow 1",#N/A,FALSE,"Outflows-Inflows";"Inflow 2",#N/A,FALSE,"Outflows-Inflows"}</definedName>
    <definedName name="wrn.Print._.6." localSheetId="11" hidden="1">{"print 1.6",#N/A,FALSE,"Sheet1";"print 2.6",#N/A,FALSE,"Sheet1";"print 3.6",#N/A,FALSE,"Sheet1";"print 4.6",#N/A,FALSE,"Sheet1";"print 5.6",#N/A,FALSE,"Sheet1";"print 6.6",#N/A,FALSE,"Sheet1"}</definedName>
    <definedName name="wrn.Print._.6." hidden="1">{"print 1.6",#N/A,FALSE,"Sheet1";"print 2.6",#N/A,FALSE,"Sheet1";"print 3.6",#N/A,FALSE,"Sheet1";"print 4.6",#N/A,FALSE,"Sheet1";"print 5.6",#N/A,FALSE,"Sheet1";"print 6.6",#N/A,FALSE,"Sheet1"}</definedName>
    <definedName name="wrn.Print._.All._.Pages." localSheetId="11"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graphs." localSheetId="1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It." localSheetId="11" hidden="1">{#N/A,#N/A,TRUE,"base case";#N/A,#N/A,TRUE,"valuation";#N/A,#N/A,TRUE,"sources and uses";#N/A,#N/A,TRUE,"recapitalization";#N/A,#N/A,TRUE,"flowchart";#N/A,#N/A,TRUE,"summary";#N/A,#N/A,TRUE,"sensitivities";#N/A,#N/A,TRUE,"pro forma";#N/A,#N/A,TRUE,"PAC shares"}</definedName>
    <definedName name="wrn.Print._.It." hidden="1">{#N/A,#N/A,TRUE,"base case";#N/A,#N/A,TRUE,"valuation";#N/A,#N/A,TRUE,"sources and uses";#N/A,#N/A,TRUE,"recapitalization";#N/A,#N/A,TRUE,"flowchart";#N/A,#N/A,TRUE,"summary";#N/A,#N/A,TRUE,"sensitivities";#N/A,#N/A,TRUE,"pro forma";#N/A,#N/A,TRUE,"PAC shares"}</definedName>
    <definedName name="wrn.print._.raw._.data._.entry." localSheetId="11" hidden="1">{"inputs raw data",#N/A,TRUE,"INPUT"}</definedName>
    <definedName name="wrn.print._.raw._.data._.entry." hidden="1">{"inputs raw data",#N/A,TRUE,"INPUT"}</definedName>
    <definedName name="wrn.print._.summary._.sheets." localSheetId="11" hidden="1">{"summary1",#N/A,TRUE,"Comps";"summary2",#N/A,TRUE,"Comps";"summary3",#N/A,TRUE,"Comps"}</definedName>
    <definedName name="wrn.print._.summary._.sheets." hidden="1">{"summary1",#N/A,TRUE,"Comps";"summary2",#N/A,TRUE,"Comps";"summary3",#N/A,TRUE,"Comps"}</definedName>
    <definedName name="wrn.print2." localSheetId="11" hidden="1">{"Assump",#N/A,TRUE,"Proforma";"first",#N/A,TRUE,"Proforma";"second",#N/A,TRUE,"Proforma";"lease1",#N/A,TRUE,"Proforma";"lease2",#N/A,TRUE,"Proforma"}</definedName>
    <definedName name="wrn.print2." hidden="1">{"Assump",#N/A,TRUE,"Proforma";"first",#N/A,TRUE,"Proforma";"second",#N/A,TRUE,"Proforma";"lease1",#N/A,TRUE,"Proforma";"lease2",#N/A,TRUE,"Proforma"}</definedName>
    <definedName name="wrn.print5" localSheetId="11" hidden="1">{"Assump",#N/A,TRUE,"Proforma";"first",#N/A,TRUE,"Proforma";"second",#N/A,TRUE,"Proforma";"lease1",#N/A,TRUE,"Proforma";"lease2",#N/A,TRUE,"Proforma"}</definedName>
    <definedName name="wrn.print5" hidden="1">{"Assump",#N/A,TRUE,"Proforma";"first",#N/A,TRUE,"Proforma";"second",#N/A,TRUE,"Proforma";"lease1",#N/A,TRUE,"Proforma";"lease2",#N/A,TRUE,"Proforma"}</definedName>
    <definedName name="wrn.PrintAll." localSheetId="11" hidden="1">{#N/A,#N/A,FALSE,"OpEx (PP)";#N/A,#N/A,FALSE,"Lease Comps (O)-BT";#N/A,#N/A,FALSE,"OpEx (CC)";#N/A,#N/A,FALSE,"Value (PP-Base)";#N/A,#N/A,FALSE,"Value (CC-Base)";#N/A,#N/A,FALSE,"Sales Comps (R)";#N/A,#N/A,FALSE,"Sales Comps (O)"}</definedName>
    <definedName name="wrn.PrintAll." hidden="1">{#N/A,#N/A,FALSE,"OpEx (PP)";#N/A,#N/A,FALSE,"Lease Comps (O)-BT";#N/A,#N/A,FALSE,"OpEx (CC)";#N/A,#N/A,FALSE,"Value (PP-Base)";#N/A,#N/A,FALSE,"Value (CC-Base)";#N/A,#N/A,FALSE,"Sales Comps (R)";#N/A,#N/A,FALSE,"Sales Comps (O)"}</definedName>
    <definedName name="wrn.Prints._.All." localSheetId="11" hidden="1">{"Main",#N/A,FALSE,"Wacker";"Main2",#N/A,FALSE,"Wacker";"Value",#N/A,FALSE,"Wacker";"Sensitivity",#N/A,FALSE,"Wacker";"Paine",#N/A,FALSE,"Wacker";"Quaker",#N/A,FALSE,"Wacker";"Wacker",#N/A,FALSE,"Wacker";"1900",#N/A,FALSE,"Wacker";"1901",#N/A,FALSE,"Wacker"}</definedName>
    <definedName name="wrn.Prints._.All." hidden="1">{"Main",#N/A,FALSE,"Wacker";"Main2",#N/A,FALSE,"Wacker";"Value",#N/A,FALSE,"Wacker";"Sensitivity",#N/A,FALSE,"Wacker";"Paine",#N/A,FALSE,"Wacker";"Quaker",#N/A,FALSE,"Wacker";"Wacker",#N/A,FALSE,"Wacker";"1900",#N/A,FALSE,"Wacker";"1901",#N/A,FALSE,"Wacker"}</definedName>
    <definedName name="wrn.Proforma." localSheetId="11" hidden="1">{#N/A,#N/A,TRUE,"Summary";#N/A,#N/A,TRUE,"InPlace";#N/A,#N/A,TRUE,"Stable";#N/A,#N/A,TRUE,"RentRoll";#N/A,#N/A,TRUE,"I&amp;E";#N/A,#N/A,TRUE,"Expense Detail";#N/A,#N/A,TRUE,"CAM Recov(InPlace)";#N/A,#N/A,TRUE,"CAM Recov(Stable)";#N/A,#N/A,TRUE,"Tax Recov";#N/A,#N/A,TRUE,"Expiration";#N/A,#N/A,TRUE,"Sales";#N/A,#N/A,TRUE,"Tax"}</definedName>
    <definedName name="wrn.Proforma." hidden="1">{#N/A,#N/A,TRUE,"Summary";#N/A,#N/A,TRUE,"InPlace";#N/A,#N/A,TRUE,"Stable";#N/A,#N/A,TRUE,"RentRoll";#N/A,#N/A,TRUE,"I&amp;E";#N/A,#N/A,TRUE,"Expense Detail";#N/A,#N/A,TRUE,"CAM Recov(InPlace)";#N/A,#N/A,TRUE,"CAM Recov(Stable)";#N/A,#N/A,TRUE,"Tax Recov";#N/A,#N/A,TRUE,"Expiration";#N/A,#N/A,TRUE,"Sales";#N/A,#N/A,TRUE,"Tax"}</definedName>
    <definedName name="wrn.PropertyInformation." localSheetId="11" hidden="1">{#N/A,#N/A,FALSE,"PropertyInfo"}</definedName>
    <definedName name="wrn.PropertyInformation." hidden="1">{#N/A,#N/A,FALSE,"PropertyInfo"}</definedName>
    <definedName name="wrn.Pulp." localSheetId="11" hidden="1">{"Pulp Production",#N/A,FALSE,"Pulp";"Pulp Earnings",#N/A,FALSE,"Pulp"}</definedName>
    <definedName name="wrn.Pulp." hidden="1">{"Pulp Production",#N/A,FALSE,"Pulp";"Pulp Earnings",#N/A,FALSE,"Pulp"}</definedName>
    <definedName name="wrn.Pulp.2" localSheetId="11" hidden="1">{"Pulp Production",#N/A,FALSE,"Pulp";"Pulp Earnings",#N/A,FALSE,"Pulp"}</definedName>
    <definedName name="wrn.Pulp.2" hidden="1">{"Pulp Production",#N/A,FALSE,"Pulp";"Pulp Earnings",#N/A,FALSE,"Pulp"}</definedName>
    <definedName name="wrn.Pulp.3" localSheetId="11" hidden="1">{"Pulp Production",#N/A,FALSE,"Pulp";"Pulp Earnings",#N/A,FALSE,"Pulp"}</definedName>
    <definedName name="wrn.Pulp.3" hidden="1">{"Pulp Production",#N/A,FALSE,"Pulp";"Pulp Earnings",#N/A,FALSE,"Pulp"}</definedName>
    <definedName name="wrn.Relevant._.Sections." localSheetId="11" hidden="1">{#N/A,#N/A,FALSE,"Summary";#N/A,#N/A,FALSE,"Program Scheme";#N/A,#N/A,FALSE,"Assumptions";#N/A,#N/A,FALSE,"Development Budget";#N/A,#N/A,FALSE,"Timing";#N/A,#N/A,FALSE,"Development Costs &amp; Revenues";#N/A,#N/A,FALSE,"Cash Flow to Debt &amp; Equity"}</definedName>
    <definedName name="wrn.Relevant._.Sections." hidden="1">{#N/A,#N/A,FALSE,"Summary";#N/A,#N/A,FALSE,"Program Scheme";#N/A,#N/A,FALSE,"Assumptions";#N/A,#N/A,FALSE,"Development Budget";#N/A,#N/A,FALSE,"Timing";#N/A,#N/A,FALSE,"Development Costs &amp; Revenues";#N/A,#N/A,FALSE,"Cash Flow to Debt &amp; Equity"}</definedName>
    <definedName name="wrn.Report." localSheetId="11" hidden="1">{#N/A,#N/A,FALSE,"Summary";#N/A,#N/A,FALSE,"Assumptions";#N/A,#N/A,FALSE,"Cash Flow";#N/A,#N/A,FALSE,"Residual Calculation";#N/A,#N/A,FALSE,"Pricing Matrix";#N/A,#N/A,FALSE,"Pricing Matrix II";#N/A,#N/A,FALSE,"Expiration Schedule"}</definedName>
    <definedName name="wrn.Report." hidden="1">{#N/A,#N/A,FALSE,"Summary";#N/A,#N/A,FALSE,"Assumptions";#N/A,#N/A,FALSE,"Cash Flow";#N/A,#N/A,FALSE,"Residual Calculation";#N/A,#N/A,FALSE,"Pricing Matrix";#N/A,#N/A,FALSE,"Pricing Matrix II";#N/A,#N/A,FALSE,"Expiration Schedule"}</definedName>
    <definedName name="wrn.Report1." localSheetId="11" hidden="1">{#N/A,#N/A,FALSE,"Summary";#N/A,#N/A,FALSE,"Assumptions";#N/A,#N/A,FALSE,"Cash Flow";#N/A,#N/A,FALSE,"Residual Calculation";#N/A,#N/A,FALSE,"Pricing Matrix";#N/A,#N/A,FALSE,"Pricing Matrix II";#N/A,#N/A,FALSE,"Expiration Schedule"}</definedName>
    <definedName name="wrn.Report1." hidden="1">{#N/A,#N/A,FALSE,"Summary";#N/A,#N/A,FALSE,"Assumptions";#N/A,#N/A,FALSE,"Cash Flow";#N/A,#N/A,FALSE,"Residual Calculation";#N/A,#N/A,FALSE,"Pricing Matrix";#N/A,#N/A,FALSE,"Pricing Matrix II";#N/A,#N/A,FALSE,"Expiration Schedule"}</definedName>
    <definedName name="wrn.Report5" localSheetId="11" hidden="1">{#N/A,#N/A,FALSE,"Summary";#N/A,#N/A,FALSE,"Assumptions";#N/A,#N/A,FALSE,"Cash Flow";#N/A,#N/A,FALSE,"Residual Calculation";#N/A,#N/A,FALSE,"Pricing Matrix";#N/A,#N/A,FALSE,"Pricing Matrix II";#N/A,#N/A,FALSE,"Expiration Schedule"}</definedName>
    <definedName name="wrn.Report5" hidden="1">{#N/A,#N/A,FALSE,"Summary";#N/A,#N/A,FALSE,"Assumptions";#N/A,#N/A,FALSE,"Cash Flow";#N/A,#N/A,FALSE,"Residual Calculation";#N/A,#N/A,FALSE,"Pricing Matrix";#N/A,#N/A,FALSE,"Pricing Matrix II";#N/A,#N/A,FALSE,"Expiration Schedule"}</definedName>
    <definedName name="wrn.schedules." localSheetId="11" hidden="1">{"schedule1",#N/A,FALSE,"Sheet1";"schedule2",#N/A,FALSE,"Sheet1";"schedule3",#N/A,FALSE,"Sheet1";"schedule4",#N/A,FALSE,"Sheet1";"schedule5",#N/A,FALSE,"Sheet1";"schedule6",#N/A,FALSE,"Sheet1"}</definedName>
    <definedName name="wrn.schedules." hidden="1">{"schedule1",#N/A,FALSE,"Sheet1";"schedule2",#N/A,FALSE,"Sheet1";"schedule3",#N/A,FALSE,"Sheet1";"schedule4",#N/A,FALSE,"Sheet1";"schedule5",#N/A,FALSE,"Sheet1";"schedule6",#N/A,FALSE,"Sheet1"}</definedName>
    <definedName name="wrn.seafirst." localSheetId="11" hidden="1">{#N/A,#N/A,FALSE,"Project Summary";#N/A,#N/A,FALSE,"Master Developer Cash Flow";#N/A,#N/A,FALSE,"Parking Budget";#N/A,#N/A,FALSE,"Parking Cash Flow2";#N/A,#N/A,FALSE,"Parking Assumptions";#N/A,#N/A,FALSE,"Bond Structure - Lease";#N/A,#N/A,FALSE,"Retail Development Budget";#N/A,#N/A,FALSE,"Retail Cash Flow";#N/A,#N/A,FALSE,"Retail Assumptions Summary";#N/A,#N/A,FALSE,"Retail Income Assumptions";#N/A,#N/A,FALSE,"Retail % Rent";#N/A,#N/A,FALSE,"Retail Debt Service";#N/A,#N/A,FALSE,"Office Development Budget";#N/A,#N/A,FALSE,"Office Cash Flow";#N/A,#N/A,FALSE,"Office Assumptions";#N/A,#N/A,FALSE,"Office Debt Service";#N/A,#N/A,FALSE,"Hotel Development Budget";#N/A,#N/A,FALSE,"Hotel Cash Flow";#N/A,#N/A,FALSE,"Hotel Assumptions";#N/A,#N/A,FALSE,"Hotel Debt Service"}</definedName>
    <definedName name="wrn.seafirst." hidden="1">{#N/A,#N/A,FALSE,"Project Summary";#N/A,#N/A,FALSE,"Master Developer Cash Flow";#N/A,#N/A,FALSE,"Parking Budget";#N/A,#N/A,FALSE,"Parking Cash Flow2";#N/A,#N/A,FALSE,"Parking Assumptions";#N/A,#N/A,FALSE,"Bond Structure - Lease";#N/A,#N/A,FALSE,"Retail Development Budget";#N/A,#N/A,FALSE,"Retail Cash Flow";#N/A,#N/A,FALSE,"Retail Assumptions Summary";#N/A,#N/A,FALSE,"Retail Income Assumptions";#N/A,#N/A,FALSE,"Retail % Rent";#N/A,#N/A,FALSE,"Retail Debt Service";#N/A,#N/A,FALSE,"Office Development Budget";#N/A,#N/A,FALSE,"Office Cash Flow";#N/A,#N/A,FALSE,"Office Assumptions";#N/A,#N/A,FALSE,"Office Debt Service";#N/A,#N/A,FALSE,"Hotel Development Budget";#N/A,#N/A,FALSE,"Hotel Cash Flow";#N/A,#N/A,FALSE,"Hotel Assumptions";#N/A,#N/A,FALSE,"Hotel Debt Service"}</definedName>
    <definedName name="wrn.Short._.Print." localSheetId="11" hidden="1">{#N/A,#N/A,FALSE,"Cover";#N/A,#N/A,FALSE,"Stack";#N/A,#N/A,FALSE,"Cost S";#N/A,#N/A,FALSE," CF";#N/A,#N/A,FALSE,"Investor"}</definedName>
    <definedName name="wrn.Short._.Print." hidden="1">{#N/A,#N/A,FALSE,"Cover";#N/A,#N/A,FALSE,"Stack";#N/A,#N/A,FALSE,"Cost S";#N/A,#N/A,FALSE," CF";#N/A,#N/A,FALSE,"Investor"}</definedName>
    <definedName name="wrn.Side._.by._.Side." localSheetId="11" hidden="1">{"Side 99",#N/A,FALSE,"S&amp;U Side by Side"}</definedName>
    <definedName name="wrn.Side._.by._.Side." hidden="1">{"Side 99",#N/A,FALSE,"S&amp;U Side by Side"}</definedName>
    <definedName name="wrn.STAND_ALONE_BOTH." localSheetId="11" hidden="1">{"FCB_ALL",#N/A,FALSE,"FCB";"GREY_ALL",#N/A,FALSE,"GREY"}</definedName>
    <definedName name="wrn.STAND_ALONE_BOTH." hidden="1">{"FCB_ALL",#N/A,FALSE,"FCB";"GREY_ALL",#N/A,FALSE,"GREY"}</definedName>
    <definedName name="wrn.Statements." localSheetId="11"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ummary." localSheetId="11" hidden="1">{#N/A,#N/A,FALSE,"Summary"}</definedName>
    <definedName name="wrn.Summary." hidden="1">{#N/A,#N/A,FALSE,"Summary"}</definedName>
    <definedName name="wrn.Template." localSheetId="11"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mplate."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OCHTERMAN." localSheetId="11" hidden="1">{#N/A,#N/A,FALSE,"Project Summary";#N/A,#N/A,FALSE,"Parking Budget";#N/A,#N/A,FALSE,"Parking Cash Flow";#N/A,#N/A,FALSE,"Parking Assumptions";#N/A,#N/A,FALSE,"Bond Debt Service";#N/A,#N/A,FALSE,"Pad Fees";#N/A,#N/A,FALSE,"Bond Shortfall";#N/A,#N/A,FALSE,"Retail Development Budget";#N/A,#N/A,FALSE,"Retail Cash Flow";#N/A,#N/A,FALSE,"Retail Assumptions Summary";#N/A,#N/A,FALSE,"Office Development Budget";#N/A,#N/A,FALSE,"Office Cash Flow";#N/A,#N/A,FALSE,"Office Assumptions";#N/A,#N/A,FALSE,"Hotel Development Budget";#N/A,#N/A,FALSE,"Hotel Cash Flow";#N/A,#N/A,FALSE,"Land Lease NPV"}</definedName>
    <definedName name="wrn.TOCHTERMAN." hidden="1">{#N/A,#N/A,FALSE,"Project Summary";#N/A,#N/A,FALSE,"Parking Budget";#N/A,#N/A,FALSE,"Parking Cash Flow";#N/A,#N/A,FALSE,"Parking Assumptions";#N/A,#N/A,FALSE,"Bond Debt Service";#N/A,#N/A,FALSE,"Pad Fees";#N/A,#N/A,FALSE,"Bond Shortfall";#N/A,#N/A,FALSE,"Retail Development Budget";#N/A,#N/A,FALSE,"Retail Cash Flow";#N/A,#N/A,FALSE,"Retail Assumptions Summary";#N/A,#N/A,FALSE,"Office Development Budget";#N/A,#N/A,FALSE,"Office Cash Flow";#N/A,#N/A,FALSE,"Office Assumptions";#N/A,#N/A,FALSE,"Hotel Development Budget";#N/A,#N/A,FALSE,"Hotel Cash Flow";#N/A,#N/A,FALSE,"Land Lease NPV"}</definedName>
    <definedName name="wrn.Total." localSheetId="11" hidden="1">{#N/A,#N/A,FALSE,"Exec Sum";#N/A,#N/A,FALSE,"Rent Rate Comp";#N/A,#N/A,FALSE,"Rate, NPV Comp";#N/A,#N/A,FALSE,"Opt A NNN";#N/A,#N/A,FALSE,"15-yr Opt. A Sum";#N/A,#N/A,FALSE,"15-yr Opt A Other Costs";#N/A,#N/A,FALSE,"10-yr Opt. A Sum";#N/A,#N/A,FALSE,"10-yr Opt A Other Costs";#N/A,#N/A,FALSE,"NPV Calc"}</definedName>
    <definedName name="wrn.Total." hidden="1">{#N/A,#N/A,FALSE,"Exec Sum";#N/A,#N/A,FALSE,"Rent Rate Comp";#N/A,#N/A,FALSE,"Rate, NPV Comp";#N/A,#N/A,FALSE,"Opt A NNN";#N/A,#N/A,FALSE,"15-yr Opt. A Sum";#N/A,#N/A,FALSE,"15-yr Opt A Other Costs";#N/A,#N/A,FALSE,"10-yr Opt. A Sum";#N/A,#N/A,FALSE,"10-yr Opt A Other Costs";#N/A,#N/A,FALSE,"NPV Calc"}</definedName>
    <definedName name="wrn.TOTAL._.SHEETS." localSheetId="11" hidden="1">{#N/A,#N/A,FALSE,"DEV COSTS";#N/A,#N/A,FALSE,"10-YR C. F."}</definedName>
    <definedName name="wrn.TOTAL._.SHEETS." hidden="1">{#N/A,#N/A,FALSE,"DEV COSTS";#N/A,#N/A,FALSE,"10-YR C. F."}</definedName>
    <definedName name="wrn.TOTAL._.SHEETS5" localSheetId="11" hidden="1">{#N/A,#N/A,FALSE,"DEV COSTS";#N/A,#N/A,FALSE,"10-YR C. F."}</definedName>
    <definedName name="wrn.TOTAL._.SHEETS5" hidden="1">{#N/A,#N/A,FALSE,"DEV COSTS";#N/A,#N/A,FALSE,"10-YR C. F."}</definedName>
    <definedName name="wrn.Total5" localSheetId="11" hidden="1">{#N/A,#N/A,FALSE,"Exec Sum";#N/A,#N/A,FALSE,"Rent Rate Comp";#N/A,#N/A,FALSE,"Rate, NPV Comp";#N/A,#N/A,FALSE,"Opt A NNN";#N/A,#N/A,FALSE,"15-yr Opt. A Sum";#N/A,#N/A,FALSE,"15-yr Opt A Other Costs";#N/A,#N/A,FALSE,"10-yr Opt. A Sum";#N/A,#N/A,FALSE,"10-yr Opt A Other Costs";#N/A,#N/A,FALSE,"NPV Calc"}</definedName>
    <definedName name="wrn.Total5" hidden="1">{#N/A,#N/A,FALSE,"Exec Sum";#N/A,#N/A,FALSE,"Rent Rate Comp";#N/A,#N/A,FALSE,"Rate, NPV Comp";#N/A,#N/A,FALSE,"Opt A NNN";#N/A,#N/A,FALSE,"15-yr Opt. A Sum";#N/A,#N/A,FALSE,"15-yr Opt A Other Costs";#N/A,#N/A,FALSE,"10-yr Opt. A Sum";#N/A,#N/A,FALSE,"10-yr Opt A Other Costs";#N/A,#N/A,FALSE,"NPV Calc"}</definedName>
    <definedName name="wrn.Tycon._.Model." localSheetId="11" hidden="1">{"rtn",#N/A,FALSE,"RTN";"tables",#N/A,FALSE,"RTN";"cf",#N/A,FALSE,"CF";"stats",#N/A,FALSE,"Stats";"prop",#N/A,FALSE,"Prop"}</definedName>
    <definedName name="wrn.Tycon._.Model." hidden="1">{"rtn",#N/A,FALSE,"RTN";"tables",#N/A,FALSE,"RTN";"cf",#N/A,FALSE,"CF";"stats",#N/A,FALSE,"Stats";"prop",#N/A,FALSE,"Prop"}</definedName>
    <definedName name="wrn.USSC_Reports." localSheetId="11" hidden="1">{#N/A,#N/A,FALSE,"9Pricing Matrix";#N/A,#N/A,FALSE,"1Summary";#N/A,#N/A,FALSE,"2Assumptions";#N/A,#N/A,FALSE,"3Cash Flow";#N/A,#N/A,FALSE,"5Residual";#N/A,#N/A,FALSE,"Occupancy Cost";#N/A,#N/A,FALSE,"7Financing Sensitivity";#N/A,#N/A,FALSE,"8Residual Sensitivity";#N/A,#N/A,FALSE,"10Vacancy Matrix";#N/A,#N/A,FALSE,"11Expiration Schedule";#N/A,#N/A,FALSE,"12Lease-up Schedule";#N/A,#N/A,FALSE,"OFS-Lease-up Schedule";#N/A,#N/A,FALSE,"Short Holds"}</definedName>
    <definedName name="wrn.USSC_Reports." hidden="1">{#N/A,#N/A,FALSE,"9Pricing Matrix";#N/A,#N/A,FALSE,"1Summary";#N/A,#N/A,FALSE,"2Assumptions";#N/A,#N/A,FALSE,"3Cash Flow";#N/A,#N/A,FALSE,"5Residual";#N/A,#N/A,FALSE,"Occupancy Cost";#N/A,#N/A,FALSE,"7Financing Sensitivity";#N/A,#N/A,FALSE,"8Residual Sensitivity";#N/A,#N/A,FALSE,"10Vacancy Matrix";#N/A,#N/A,FALSE,"11Expiration Schedule";#N/A,#N/A,FALSE,"12Lease-up Schedule";#N/A,#N/A,FALSE,"OFS-Lease-up Schedule";#N/A,#N/A,FALSE,"Short Holds"}</definedName>
    <definedName name="wrn.Value." localSheetId="11" hidden="1">{#N/A,#N/A,FALSE,"Cashflow Analysis";#N/A,#N/A,FALSE,"Sensitivity Analysis";#N/A,#N/A,FALSE,"PV";#N/A,#N/A,FALSE,"Pro Forma"}</definedName>
    <definedName name="wrn.Value." hidden="1">{#N/A,#N/A,FALSE,"Cashflow Analysis";#N/A,#N/A,FALSE,"Sensitivity Analysis";#N/A,#N/A,FALSE,"PV";#N/A,#N/A,FALSE,"Pro Forma"}</definedName>
    <definedName name="wrn.Value.2" localSheetId="11" hidden="1">{#N/A,#N/A,FALSE,"Cashflow Analysis";#N/A,#N/A,FALSE,"Sensitivity Analysis";#N/A,#N/A,FALSE,"PV";#N/A,#N/A,FALSE,"Pro Forma"}</definedName>
    <definedName name="wrn.Value.2" hidden="1">{#N/A,#N/A,FALSE,"Cashflow Analysis";#N/A,#N/A,FALSE,"Sensitivity Analysis";#N/A,#N/A,FALSE,"PV";#N/A,#N/A,FALSE,"Pro Forma"}</definedName>
    <definedName name="wrn.XL._.DTR." localSheetId="11" hidden="1">{#N/A,#N/A,TRUE,"XL Cash Flow";#N/A,#N/A,TRUE,"Prop Valuation";#N/A,#N/A,TRUE,"Equity";#N/A,#N/A,TRUE,"Modeling assumptions";#N/A,#N/A,TRUE,"NER Model";#N/A,#N/A,TRUE,"Lease Exp";#N/A,#N/A,TRUE,"Inc &amp; Exp";#N/A,#N/A,TRUE,"Formatted - roll";#N/A,#N/A,TRUE,"Debt Model";#N/A,#N/A,TRUE,"Debt-Moody";#N/A,#N/A,TRUE,"Debt"}</definedName>
    <definedName name="wrn.XL._.DTR." hidden="1">{#N/A,#N/A,TRUE,"XL Cash Flow";#N/A,#N/A,TRUE,"Prop Valuation";#N/A,#N/A,TRUE,"Equity";#N/A,#N/A,TRUE,"Modeling assumptions";#N/A,#N/A,TRUE,"NER Model";#N/A,#N/A,TRUE,"Lease Exp";#N/A,#N/A,TRUE,"Inc &amp; Exp";#N/A,#N/A,TRUE,"Formatted - roll";#N/A,#N/A,TRUE,"Debt Model";#N/A,#N/A,TRUE,"Debt-Moody";#N/A,#N/A,TRUE,"Debt"}</definedName>
    <definedName name="wt"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t"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 localSheetId="11" hidden="1">{"FCB_ALL",#N/A,FALSE,"FCB";"GREY_ALL",#N/A,FALSE,"GREY"}</definedName>
    <definedName name="x" hidden="1">{"FCB_ALL",#N/A,FALSE,"FCB";"GREY_ALL",#N/A,FALSE,"GREY"}</definedName>
    <definedName name="xlg" localSheetId="11" hidden="1">{"schedule1",#N/A,FALSE,"Sheet1";"schedule2",#N/A,FALSE,"Sheet1";"schedule3",#N/A,FALSE,"Sheet1";"schedule4",#N/A,FALSE,"Sheet1";"schedule5",#N/A,FALSE,"Sheet1";"schedule6",#N/A,FALSE,"Sheet1"}</definedName>
    <definedName name="xlg" hidden="1">{"schedule1",#N/A,FALSE,"Sheet1";"schedule2",#N/A,FALSE,"Sheet1";"schedule3",#N/A,FALSE,"Sheet1";"schedule4",#N/A,FALSE,"Sheet1";"schedule5",#N/A,FALSE,"Sheet1";"schedule6",#N/A,FALSE,"Sheet1"}</definedName>
    <definedName name="xlg1" localSheetId="11" hidden="1">{"Year 1",#N/A,FALSE,"Budget";"Year 2",#N/A,FALSE,"Budget";"Year 3",#N/A,FALSE,"Budget";"Year 4",#N/A,FALSE,"Budget"}</definedName>
    <definedName name="xlg1" hidden="1">{"Year 1",#N/A,FALSE,"Budget";"Year 2",#N/A,FALSE,"Budget";"Year 3",#N/A,FALSE,"Budget";"Year 4",#N/A,FALSE,"Budget"}</definedName>
    <definedName name="xxd" localSheetId="11" hidden="1">{#N/A,#N/A,FALSE,"Cashflow Analysis";#N/A,#N/A,FALSE,"Sensitivity Analysis";#N/A,#N/A,FALSE,"PV";#N/A,#N/A,FALSE,"Pro Forma"}</definedName>
    <definedName name="xxd" hidden="1">{#N/A,#N/A,FALSE,"Cashflow Analysis";#N/A,#N/A,FALSE,"Sensitivity Analysis";#N/A,#N/A,FALSE,"PV";#N/A,#N/A,FALSE,"Pro Forma"}</definedName>
    <definedName name="xxd.2" localSheetId="11" hidden="1">{#N/A,#N/A,FALSE,"Cashflow Analysis";#N/A,#N/A,FALSE,"Sensitivity Analysis";#N/A,#N/A,FALSE,"PV";#N/A,#N/A,FALSE,"Pro Forma"}</definedName>
    <definedName name="xxd.2" hidden="1">{#N/A,#N/A,FALSE,"Cashflow Analysis";#N/A,#N/A,FALSE,"Sensitivity Analysis";#N/A,#N/A,FALSE,"PV";#N/A,#N/A,FALSE,"Pro Forma"}</definedName>
    <definedName name="xxx3" localSheetId="11" hidden="1">{"AnnualRentRoll",#N/A,FALSE,"RentRoll"}</definedName>
    <definedName name="xxx3" hidden="1">{"AnnualRentRoll",#N/A,FALSE,"RentRoll"}</definedName>
    <definedName name="xxx4" localSheetId="11" hidden="1">{#N/A,#N/A,FALSE,"ExitStratigy"}</definedName>
    <definedName name="xxx4" hidden="1">{#N/A,#N/A,FALSE,"ExitStratigy"}</definedName>
    <definedName name="xyz" localSheetId="11" hidden="1">{#N/A,#N/A,TRUE,"XL Cash Flow";#N/A,#N/A,TRUE,"Prop Valuation";#N/A,#N/A,TRUE,"Equity";#N/A,#N/A,TRUE,"Modeling assumptions";#N/A,#N/A,TRUE,"NER Model";#N/A,#N/A,TRUE,"Lease Exp";#N/A,#N/A,TRUE,"Inc &amp; Exp";#N/A,#N/A,TRUE,"Formatted - roll";#N/A,#N/A,TRUE,"Debt Model";#N/A,#N/A,TRUE,"Debt-Moody";#N/A,#N/A,TRUE,"Debt"}</definedName>
    <definedName name="xyz" hidden="1">{#N/A,#N/A,TRUE,"XL Cash Flow";#N/A,#N/A,TRUE,"Prop Valuation";#N/A,#N/A,TRUE,"Equity";#N/A,#N/A,TRUE,"Modeling assumptions";#N/A,#N/A,TRUE,"NER Model";#N/A,#N/A,TRUE,"Lease Exp";#N/A,#N/A,TRUE,"Inc &amp; Exp";#N/A,#N/A,TRUE,"Formatted - roll";#N/A,#N/A,TRUE,"Debt Model";#N/A,#N/A,TRUE,"Debt-Moody";#N/A,#N/A,TRUE,"Debt"}</definedName>
    <definedName name="y"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y"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YGJ"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YGJ" hidden="1">{TRUE,TRUE,-1.25,-15.5,604.5,369,FALSE,FALSE,TRUE,TRUE,0,1,83,1,38,4,5,4,TRUE,TRUE,3,TRUE,1,TRUE,75,"Swvu.inputs._.raw._.data.","ACwvu.inputs._.raw._.data.",#N/A,FALSE,FALSE,0.5,0.5,0.5,0.5,2,"&amp;F","&amp;A&amp;RPage &amp;P",FALSE,FALSE,FALSE,FALSE,1,60,#N/A,#N/A,"=R1C61:R53C89","=C1:C5",#N/A,#N/A,FALSE,FALSE,FALSE,1,600,600,FALSE,FALSE,TRUE,TRUE,TRUE}</definedName>
    <definedName name="Z_7A335D06_3E2B_11D5_982F_00B0D0A6BCF2_.wvu.PrintArea" hidden="1">#REF!</definedName>
    <definedName name="Z_F4D26AD1_3E1A_11D5_A9C5_00A0C91596F2_.wvu.PrintArea" hidden="1">#REF!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6" i="45" l="1"/>
  <c r="E5" i="45"/>
  <c r="G5" i="45" s="1"/>
  <c r="D44" i="25"/>
  <c r="H35" i="17"/>
  <c r="G35" i="17"/>
  <c r="F35" i="17"/>
  <c r="H30" i="17"/>
  <c r="G30" i="17"/>
  <c r="F30" i="17"/>
  <c r="D44" i="52"/>
  <c r="D43" i="52"/>
  <c r="D42" i="52"/>
  <c r="D41" i="52"/>
  <c r="D40" i="52"/>
  <c r="D39" i="52"/>
  <c r="D38" i="52"/>
  <c r="D37" i="52"/>
  <c r="D36" i="52"/>
  <c r="D35" i="52"/>
  <c r="D34" i="52"/>
  <c r="D33" i="52"/>
  <c r="D32" i="52"/>
  <c r="D31" i="52"/>
  <c r="D30" i="52"/>
  <c r="D29" i="52"/>
  <c r="D28" i="52"/>
  <c r="D27" i="52"/>
  <c r="D26" i="52"/>
  <c r="D25" i="52"/>
  <c r="D24" i="52"/>
  <c r="D23" i="52"/>
  <c r="D22" i="52"/>
  <c r="D21" i="52"/>
  <c r="D20" i="52"/>
  <c r="D19" i="52"/>
  <c r="D18" i="52"/>
  <c r="D17" i="52"/>
  <c r="D16" i="52"/>
  <c r="D15" i="52"/>
  <c r="D14" i="52"/>
  <c r="D13" i="52"/>
  <c r="B13" i="52"/>
  <c r="B14" i="52" s="1"/>
  <c r="B15" i="52" s="1"/>
  <c r="B16" i="52" s="1"/>
  <c r="B17" i="52" s="1"/>
  <c r="B18" i="52" s="1"/>
  <c r="B19" i="52" s="1"/>
  <c r="B20" i="52" s="1"/>
  <c r="B21" i="52" s="1"/>
  <c r="B22" i="52" s="1"/>
  <c r="B23" i="52" s="1"/>
  <c r="B24" i="52" s="1"/>
  <c r="B25" i="52" s="1"/>
  <c r="B26" i="52" s="1"/>
  <c r="B27" i="52" s="1"/>
  <c r="B28" i="52" s="1"/>
  <c r="B29" i="52" s="1"/>
  <c r="B30" i="52" s="1"/>
  <c r="B31" i="52" s="1"/>
  <c r="B32" i="52" s="1"/>
  <c r="B33" i="52" s="1"/>
  <c r="B34" i="52" s="1"/>
  <c r="B35" i="52" s="1"/>
  <c r="B36" i="52" s="1"/>
  <c r="B37" i="52" s="1"/>
  <c r="B38" i="52" s="1"/>
  <c r="B39" i="52" s="1"/>
  <c r="B40" i="52" s="1"/>
  <c r="B41" i="52" s="1"/>
  <c r="B42" i="52" s="1"/>
  <c r="B43" i="52" s="1"/>
  <c r="B44" i="52" s="1"/>
  <c r="D12" i="52"/>
  <c r="B12" i="52"/>
  <c r="D11" i="52"/>
  <c r="B11" i="52"/>
  <c r="D10" i="52"/>
  <c r="B10" i="52"/>
  <c r="D9" i="52"/>
  <c r="E1" i="52"/>
  <c r="G8" i="52" s="1"/>
  <c r="H8" i="52" s="1"/>
  <c r="F9" i="52" l="1"/>
  <c r="E9" i="52"/>
  <c r="G9" i="52" s="1"/>
  <c r="H9" i="52" l="1"/>
  <c r="E10" i="52" l="1"/>
  <c r="G10" i="52" s="1"/>
  <c r="F10" i="52"/>
  <c r="H10" i="52" l="1"/>
  <c r="F11" i="52" l="1"/>
  <c r="E11" i="52"/>
  <c r="G11" i="52" s="1"/>
  <c r="H11" i="52"/>
  <c r="E12" i="52" l="1"/>
  <c r="G12" i="52" s="1"/>
  <c r="F12" i="52"/>
  <c r="H12" i="52" l="1"/>
  <c r="F13" i="52" l="1"/>
  <c r="E13" i="52"/>
  <c r="G13" i="52" s="1"/>
  <c r="H13" i="52" l="1"/>
  <c r="F14" i="52" l="1"/>
  <c r="E14" i="52"/>
  <c r="G14" i="52" s="1"/>
  <c r="H14" i="52" l="1"/>
  <c r="F15" i="52" l="1"/>
  <c r="E15" i="52"/>
  <c r="G15" i="52" s="1"/>
  <c r="H15" i="52"/>
  <c r="E16" i="52" l="1"/>
  <c r="G16" i="52" s="1"/>
  <c r="F16" i="52"/>
  <c r="H16" i="52" l="1"/>
  <c r="F17" i="52" l="1"/>
  <c r="E17" i="52"/>
  <c r="G17" i="52" s="1"/>
  <c r="H17" i="52" l="1"/>
  <c r="E18" i="52" l="1"/>
  <c r="G18" i="52" s="1"/>
  <c r="F18" i="52"/>
  <c r="H18" i="52" l="1"/>
  <c r="F19" i="52" l="1"/>
  <c r="E19" i="52"/>
  <c r="G19" i="52" s="1"/>
  <c r="H19" i="52" l="1"/>
  <c r="E20" i="52" l="1"/>
  <c r="G20" i="52" s="1"/>
  <c r="F20" i="52"/>
  <c r="H20" i="52" l="1"/>
  <c r="F21" i="52" l="1"/>
  <c r="E21" i="52"/>
  <c r="G21" i="52" s="1"/>
  <c r="H21" i="52" l="1"/>
  <c r="F22" i="52" l="1"/>
  <c r="E22" i="52"/>
  <c r="G22" i="52" s="1"/>
  <c r="H22" i="52" l="1"/>
  <c r="F23" i="52" l="1"/>
  <c r="E23" i="52"/>
  <c r="G23" i="52" s="1"/>
  <c r="H23" i="52"/>
  <c r="E24" i="52" l="1"/>
  <c r="G24" i="52" s="1"/>
  <c r="F24" i="52"/>
  <c r="H24" i="52" l="1"/>
  <c r="F25" i="52" l="1"/>
  <c r="E25" i="52"/>
  <c r="G25" i="52" s="1"/>
  <c r="H25" i="52" l="1"/>
  <c r="F26" i="52" l="1"/>
  <c r="E26" i="52"/>
  <c r="G26" i="52" s="1"/>
  <c r="H26" i="52" l="1"/>
  <c r="F27" i="52" l="1"/>
  <c r="E27" i="52"/>
  <c r="G27" i="52" s="1"/>
  <c r="H27" i="52"/>
  <c r="F28" i="52" l="1"/>
  <c r="E28" i="52"/>
  <c r="G28" i="52" s="1"/>
  <c r="H28" i="52" l="1"/>
  <c r="F29" i="52" l="1"/>
  <c r="E29" i="52"/>
  <c r="G29" i="52" s="1"/>
  <c r="H29" i="52" l="1"/>
  <c r="F30" i="52" l="1"/>
  <c r="E30" i="52"/>
  <c r="G30" i="52" s="1"/>
  <c r="H30" i="52" l="1"/>
  <c r="F31" i="52" l="1"/>
  <c r="E31" i="52"/>
  <c r="G31" i="52" s="1"/>
  <c r="H31" i="52"/>
  <c r="E32" i="52" l="1"/>
  <c r="G32" i="52" s="1"/>
  <c r="F32" i="52"/>
  <c r="H32" i="52" l="1"/>
  <c r="F33" i="52" l="1"/>
  <c r="E33" i="52"/>
  <c r="G33" i="52" s="1"/>
  <c r="H33" i="52" l="1"/>
  <c r="F34" i="52" l="1"/>
  <c r="E34" i="52"/>
  <c r="G34" i="52" s="1"/>
  <c r="H34" i="52" l="1"/>
  <c r="F35" i="52" l="1"/>
  <c r="E35" i="52"/>
  <c r="G35" i="52" s="1"/>
  <c r="H35" i="52" l="1"/>
  <c r="F36" i="52" l="1"/>
  <c r="E36" i="52"/>
  <c r="G36" i="52" s="1"/>
  <c r="H36" i="52" l="1"/>
  <c r="F37" i="52" l="1"/>
  <c r="E37" i="52"/>
  <c r="G37" i="52" s="1"/>
  <c r="H37" i="52" l="1"/>
  <c r="F38" i="52" l="1"/>
  <c r="E38" i="52"/>
  <c r="G38" i="52" s="1"/>
  <c r="H38" i="52" l="1"/>
  <c r="F39" i="52" l="1"/>
  <c r="E39" i="52"/>
  <c r="G39" i="52" s="1"/>
  <c r="H39" i="52"/>
  <c r="F40" i="52" l="1"/>
  <c r="E40" i="52"/>
  <c r="G40" i="52" s="1"/>
  <c r="H40" i="52" l="1"/>
  <c r="F41" i="52" l="1"/>
  <c r="E41" i="52"/>
  <c r="G41" i="52" s="1"/>
  <c r="H41" i="52" l="1"/>
  <c r="F42" i="52" l="1"/>
  <c r="E42" i="52"/>
  <c r="G42" i="52" s="1"/>
  <c r="H42" i="52" l="1"/>
  <c r="F43" i="52" l="1"/>
  <c r="E43" i="52"/>
  <c r="G43" i="52" s="1"/>
  <c r="H43" i="52"/>
  <c r="F44" i="52" l="1"/>
  <c r="F45" i="52" s="1"/>
  <c r="E44" i="52"/>
  <c r="G44" i="52" s="1"/>
  <c r="H44" i="52" l="1"/>
  <c r="U35" i="25" l="1"/>
  <c r="U28" i="25"/>
  <c r="U34" i="25" l="1"/>
  <c r="V42" i="3"/>
  <c r="G32" i="45"/>
  <c r="G31" i="45"/>
  <c r="G30" i="45"/>
  <c r="G28" i="45"/>
  <c r="G23" i="45"/>
  <c r="D54" i="25"/>
  <c r="U32" i="25"/>
  <c r="C40" i="25"/>
  <c r="F31" i="3" l="1"/>
  <c r="A2" i="48" l="1"/>
  <c r="A13" i="48"/>
  <c r="A15" i="48"/>
  <c r="A29" i="48"/>
  <c r="A31" i="48"/>
  <c r="I8" i="17"/>
  <c r="H8" i="17" l="1"/>
  <c r="V19" i="25" l="1"/>
  <c r="V18" i="25"/>
  <c r="V4" i="25"/>
  <c r="V8" i="3"/>
  <c r="D9" i="3"/>
  <c r="H6" i="3"/>
  <c r="H5" i="3"/>
  <c r="U37" i="25" l="1"/>
  <c r="G36" i="45" l="1"/>
  <c r="G35" i="45"/>
  <c r="G34" i="45"/>
  <c r="G33" i="45"/>
  <c r="G29" i="45"/>
  <c r="G27" i="45"/>
  <c r="G25" i="45"/>
  <c r="G24" i="45"/>
  <c r="G22" i="45"/>
  <c r="G21" i="45"/>
  <c r="G38" i="45" s="1"/>
  <c r="V40" i="3" s="1"/>
  <c r="G17" i="45" l="1"/>
  <c r="G39" i="45" s="1"/>
  <c r="V39" i="3"/>
  <c r="G40" i="45"/>
  <c r="G41" i="45" l="1"/>
  <c r="V8" i="25"/>
  <c r="V41" i="3"/>
  <c r="G42" i="45"/>
  <c r="V7" i="25" l="1"/>
  <c r="V10" i="25"/>
  <c r="R15" i="25"/>
  <c r="H6" i="39"/>
  <c r="G20" i="44"/>
  <c r="G19" i="44"/>
  <c r="G18" i="44"/>
  <c r="G17" i="44"/>
  <c r="G16" i="44"/>
  <c r="G15" i="44"/>
  <c r="G14" i="44"/>
  <c r="G13" i="44"/>
  <c r="G12" i="44"/>
  <c r="G11" i="44"/>
  <c r="G21" i="44" s="1"/>
  <c r="G10" i="44"/>
  <c r="G9" i="44"/>
  <c r="E5" i="44"/>
  <c r="G5" i="44" s="1"/>
  <c r="G6" i="44" s="1"/>
  <c r="U30" i="25" l="1"/>
  <c r="U29" i="25"/>
  <c r="G22" i="44"/>
  <c r="G23" i="44" l="1"/>
  <c r="G24" i="44" s="1"/>
  <c r="G25" i="44" l="1"/>
  <c r="G9" i="39"/>
  <c r="G16" i="39"/>
  <c r="V19" i="3"/>
  <c r="J188" i="42"/>
  <c r="T270" i="42"/>
  <c r="T269" i="42"/>
  <c r="T268" i="42"/>
  <c r="T267" i="42"/>
  <c r="T266" i="42"/>
  <c r="T265" i="42"/>
  <c r="T264" i="42"/>
  <c r="T263" i="42"/>
  <c r="T262" i="42"/>
  <c r="T247" i="42"/>
  <c r="T246" i="42"/>
  <c r="T245" i="42"/>
  <c r="T244" i="42"/>
  <c r="T243" i="42"/>
  <c r="T242" i="42"/>
  <c r="T241" i="42"/>
  <c r="T224" i="42"/>
  <c r="T223" i="42"/>
  <c r="T222" i="42"/>
  <c r="T221" i="42"/>
  <c r="T220" i="42"/>
  <c r="T219" i="42"/>
  <c r="T218" i="42"/>
  <c r="T217" i="42"/>
  <c r="T216" i="42"/>
  <c r="T199" i="42"/>
  <c r="T198" i="42"/>
  <c r="T197" i="42"/>
  <c r="T196" i="42"/>
  <c r="T195" i="42"/>
  <c r="T194" i="42"/>
  <c r="T193" i="42"/>
  <c r="T192" i="42"/>
  <c r="T191" i="42"/>
  <c r="T175" i="42"/>
  <c r="T174" i="42"/>
  <c r="T173" i="42"/>
  <c r="T172" i="42"/>
  <c r="T171" i="42"/>
  <c r="T170" i="42"/>
  <c r="T169" i="42"/>
  <c r="T168" i="42"/>
  <c r="T147" i="42"/>
  <c r="T146" i="42"/>
  <c r="T145" i="42"/>
  <c r="T144" i="42"/>
  <c r="T143" i="42"/>
  <c r="T126" i="42"/>
  <c r="T125" i="42"/>
  <c r="T124" i="42"/>
  <c r="T123" i="42"/>
  <c r="T122" i="42"/>
  <c r="T121" i="42"/>
  <c r="T120" i="42"/>
  <c r="T107" i="42"/>
  <c r="T106" i="42"/>
  <c r="T105" i="42"/>
  <c r="T104" i="42"/>
  <c r="T103" i="42"/>
  <c r="T102" i="42"/>
  <c r="T101" i="42"/>
  <c r="T100" i="42"/>
  <c r="T99" i="42"/>
  <c r="T98" i="42"/>
  <c r="T97" i="42"/>
  <c r="T96" i="42"/>
  <c r="T95" i="42"/>
  <c r="T94" i="42"/>
  <c r="T82" i="42"/>
  <c r="T81" i="42"/>
  <c r="T80" i="42"/>
  <c r="T79" i="42"/>
  <c r="T78" i="42"/>
  <c r="T77" i="42"/>
  <c r="T76" i="42"/>
  <c r="T75" i="42"/>
  <c r="T74" i="42"/>
  <c r="T73" i="42"/>
  <c r="T72" i="42"/>
  <c r="T71" i="42"/>
  <c r="T70" i="42"/>
  <c r="T69" i="42"/>
  <c r="T68" i="42"/>
  <c r="T67" i="42"/>
  <c r="T52" i="42"/>
  <c r="T51" i="42"/>
  <c r="T50" i="42"/>
  <c r="T49" i="42"/>
  <c r="T48" i="42"/>
  <c r="T47" i="42"/>
  <c r="T46" i="42"/>
  <c r="T32" i="42"/>
  <c r="T31" i="42"/>
  <c r="T30" i="42"/>
  <c r="T29" i="42"/>
  <c r="T28" i="42"/>
  <c r="T27" i="42"/>
  <c r="T26" i="42"/>
  <c r="T25" i="42"/>
  <c r="H26" i="44" l="1"/>
  <c r="T154" i="42"/>
  <c r="T133" i="42"/>
  <c r="T89" i="42"/>
  <c r="T114" i="42"/>
  <c r="T58" i="42"/>
  <c r="T182" i="42"/>
  <c r="T206" i="42"/>
  <c r="T231" i="42"/>
  <c r="T255" i="42"/>
  <c r="T277" i="42"/>
  <c r="T38" i="42"/>
  <c r="F17" i="3" l="1"/>
  <c r="J15" i="42"/>
  <c r="I15" i="42"/>
  <c r="G15" i="42"/>
  <c r="J14" i="42"/>
  <c r="I14" i="42"/>
  <c r="I13" i="42"/>
  <c r="G14" i="42"/>
  <c r="J13" i="42"/>
  <c r="G13" i="42"/>
  <c r="I12" i="42"/>
  <c r="J12" i="42"/>
  <c r="G12" i="42"/>
  <c r="J11" i="42"/>
  <c r="I11" i="42"/>
  <c r="G11" i="42"/>
  <c r="J10" i="42"/>
  <c r="I10" i="42"/>
  <c r="G10" i="42"/>
  <c r="J140" i="42"/>
  <c r="J9" i="42"/>
  <c r="I9" i="42"/>
  <c r="G9" i="42"/>
  <c r="I8" i="42"/>
  <c r="G8" i="42"/>
  <c r="J8" i="42"/>
  <c r="J7" i="42"/>
  <c r="I7" i="42"/>
  <c r="G7" i="42"/>
  <c r="J43" i="42"/>
  <c r="J6" i="42"/>
  <c r="I6" i="42"/>
  <c r="G6" i="42"/>
  <c r="J5" i="42" l="1"/>
  <c r="I5" i="42"/>
  <c r="G5" i="42"/>
  <c r="J22" i="42"/>
  <c r="J259" i="42" l="1"/>
  <c r="J238" i="42"/>
  <c r="J213" i="42"/>
  <c r="J165" i="42"/>
  <c r="J117" i="42"/>
  <c r="J91" i="42"/>
  <c r="J64" i="42"/>
  <c r="F4" i="42"/>
  <c r="E4" i="42"/>
  <c r="C4" i="42"/>
  <c r="L7" i="24" l="1"/>
  <c r="O86" i="17" l="1"/>
  <c r="N86" i="17"/>
  <c r="M86" i="17"/>
  <c r="L86" i="17"/>
  <c r="K86" i="17"/>
  <c r="R5" i="3"/>
  <c r="R6" i="3"/>
  <c r="AD28" i="25" s="1"/>
  <c r="R7" i="3"/>
  <c r="AD29" i="25" s="1"/>
  <c r="R8" i="3"/>
  <c r="AD30" i="25" s="1"/>
  <c r="R9" i="3"/>
  <c r="R10" i="3"/>
  <c r="AD32" i="25" s="1"/>
  <c r="R11" i="3"/>
  <c r="AD33" i="25" s="1"/>
  <c r="R12" i="3"/>
  <c r="AD34" i="25" s="1"/>
  <c r="Q6" i="3"/>
  <c r="AC28" i="25" s="1"/>
  <c r="Q7" i="3"/>
  <c r="AC29" i="25" s="1"/>
  <c r="Q8" i="3"/>
  <c r="AC30" i="25" s="1"/>
  <c r="Q9" i="3"/>
  <c r="Q10" i="3"/>
  <c r="AC32" i="25" s="1"/>
  <c r="Q11" i="3"/>
  <c r="AC33" i="25" s="1"/>
  <c r="Q12" i="3"/>
  <c r="AC34" i="25" s="1"/>
  <c r="Q5" i="3"/>
  <c r="AC27" i="25" s="1"/>
  <c r="AG10" i="1"/>
  <c r="AH10" i="1"/>
  <c r="AI10" i="1"/>
  <c r="AJ10" i="1"/>
  <c r="AK10" i="1"/>
  <c r="AL10" i="1"/>
  <c r="AM10" i="1"/>
  <c r="AN10" i="1"/>
  <c r="AO10" i="1"/>
  <c r="AP10" i="1"/>
  <c r="AQ10" i="1"/>
  <c r="AF10" i="1"/>
  <c r="AG9" i="1"/>
  <c r="AH9" i="1"/>
  <c r="AI9" i="1"/>
  <c r="AJ9" i="1"/>
  <c r="AK9" i="1"/>
  <c r="AL9" i="1"/>
  <c r="AM9" i="1"/>
  <c r="AN9" i="1"/>
  <c r="AO9" i="1"/>
  <c r="AP9" i="1"/>
  <c r="AQ9" i="1"/>
  <c r="AF9" i="1"/>
  <c r="F35" i="3"/>
  <c r="F26" i="1" s="1"/>
  <c r="F31" i="1"/>
  <c r="F30" i="1"/>
  <c r="F29" i="1"/>
  <c r="AA28" i="25"/>
  <c r="AB28" i="25"/>
  <c r="AA29" i="25"/>
  <c r="AB29" i="25"/>
  <c r="AA30" i="25"/>
  <c r="AB30" i="25"/>
  <c r="AA31" i="25"/>
  <c r="AB31" i="25"/>
  <c r="AA32" i="25"/>
  <c r="AB32" i="25"/>
  <c r="AA33" i="25"/>
  <c r="AB33" i="25"/>
  <c r="AA34" i="25"/>
  <c r="AB34" i="25"/>
  <c r="AB27" i="25"/>
  <c r="AA27" i="25"/>
  <c r="Z28" i="25"/>
  <c r="Z29" i="25"/>
  <c r="Z30" i="25"/>
  <c r="Z31" i="25"/>
  <c r="Z32" i="25"/>
  <c r="Z33" i="25"/>
  <c r="Z34" i="25"/>
  <c r="Z27" i="25"/>
  <c r="Y28" i="25"/>
  <c r="Y29" i="25"/>
  <c r="Y30" i="25"/>
  <c r="Y31" i="25"/>
  <c r="Y32" i="25"/>
  <c r="Y33" i="25"/>
  <c r="Y34" i="25"/>
  <c r="Y27" i="25"/>
  <c r="Y26" i="25"/>
  <c r="X28" i="25"/>
  <c r="X29" i="25"/>
  <c r="X30" i="25"/>
  <c r="X31" i="25"/>
  <c r="X32" i="25"/>
  <c r="X33" i="25"/>
  <c r="X34" i="25"/>
  <c r="X27" i="25"/>
  <c r="Z26" i="25"/>
  <c r="AA26" i="25"/>
  <c r="AB26" i="25"/>
  <c r="AC26" i="25"/>
  <c r="AD26" i="25"/>
  <c r="X26" i="25"/>
  <c r="E86" i="17"/>
  <c r="G17" i="39"/>
  <c r="G15" i="39"/>
  <c r="G14" i="39"/>
  <c r="G13" i="39"/>
  <c r="G12" i="39"/>
  <c r="G11" i="39"/>
  <c r="G10" i="39"/>
  <c r="G18" i="39"/>
  <c r="E5" i="39"/>
  <c r="G5" i="39" s="1"/>
  <c r="G6" i="39" s="1"/>
  <c r="U27" i="25"/>
  <c r="F36" i="3"/>
  <c r="F27" i="1" s="1"/>
  <c r="F34" i="3"/>
  <c r="F25" i="1" s="1"/>
  <c r="F33" i="3"/>
  <c r="F24" i="1" s="1"/>
  <c r="F21" i="1"/>
  <c r="F29" i="3"/>
  <c r="F28" i="3"/>
  <c r="F19" i="1" s="1"/>
  <c r="D41" i="3"/>
  <c r="D22" i="3"/>
  <c r="F18" i="3"/>
  <c r="F19" i="3"/>
  <c r="F8" i="1" s="1"/>
  <c r="F6" i="1"/>
  <c r="B3" i="48" s="1"/>
  <c r="H4" i="3"/>
  <c r="G31" i="3" s="1"/>
  <c r="G17" i="3"/>
  <c r="F9" i="1" s="1"/>
  <c r="B6" i="48" s="1"/>
  <c r="AD31" i="25"/>
  <c r="AC31" i="25"/>
  <c r="G24" i="1" l="1"/>
  <c r="B21" i="48"/>
  <c r="G26" i="1"/>
  <c r="B23" i="48"/>
  <c r="R13" i="3"/>
  <c r="G8" i="1"/>
  <c r="B5" i="48"/>
  <c r="G25" i="1"/>
  <c r="B22" i="48"/>
  <c r="G31" i="1"/>
  <c r="B28" i="48"/>
  <c r="G27" i="1"/>
  <c r="B24" i="48"/>
  <c r="G21" i="1"/>
  <c r="B18" i="48"/>
  <c r="G30" i="1"/>
  <c r="B27" i="48"/>
  <c r="G19" i="1"/>
  <c r="B16" i="48"/>
  <c r="G29" i="1"/>
  <c r="B26" i="48"/>
  <c r="G40" i="3"/>
  <c r="E36" i="3"/>
  <c r="V9" i="25"/>
  <c r="G32" i="3"/>
  <c r="F7" i="1"/>
  <c r="F23" i="3"/>
  <c r="F21" i="3"/>
  <c r="F20" i="3"/>
  <c r="F22" i="3"/>
  <c r="R14" i="3"/>
  <c r="G34" i="3"/>
  <c r="AD27" i="25"/>
  <c r="AD36" i="25" s="1"/>
  <c r="AB36" i="25"/>
  <c r="Z36" i="25"/>
  <c r="Y36" i="25"/>
  <c r="AA36" i="25"/>
  <c r="I4" i="42" s="1"/>
  <c r="AC36" i="25"/>
  <c r="G6" i="1"/>
  <c r="C3" i="48" s="1"/>
  <c r="E29" i="3"/>
  <c r="G29" i="3"/>
  <c r="E37" i="3"/>
  <c r="G39" i="3"/>
  <c r="E35" i="3"/>
  <c r="G36" i="3"/>
  <c r="G33" i="3"/>
  <c r="E33" i="3"/>
  <c r="G35" i="3"/>
  <c r="E31" i="3"/>
  <c r="F20" i="1"/>
  <c r="E28" i="3"/>
  <c r="E30" i="3"/>
  <c r="G28" i="3"/>
  <c r="F22" i="1"/>
  <c r="E39" i="3"/>
  <c r="E38" i="3"/>
  <c r="F23" i="1"/>
  <c r="D24" i="3"/>
  <c r="E34" i="3"/>
  <c r="G38" i="3"/>
  <c r="E40" i="3"/>
  <c r="E32" i="3"/>
  <c r="G30" i="3"/>
  <c r="G19" i="39"/>
  <c r="D3" i="36"/>
  <c r="D4" i="36"/>
  <c r="D5" i="36"/>
  <c r="D6" i="36"/>
  <c r="D7" i="36"/>
  <c r="D8" i="36"/>
  <c r="D9" i="36"/>
  <c r="D2" i="36"/>
  <c r="H21" i="1" l="1"/>
  <c r="C18" i="48"/>
  <c r="H8" i="1"/>
  <c r="C5" i="48"/>
  <c r="H25" i="1"/>
  <c r="C22" i="48"/>
  <c r="G23" i="1"/>
  <c r="B20" i="48"/>
  <c r="H29" i="1"/>
  <c r="C26" i="48"/>
  <c r="H27" i="1"/>
  <c r="C24" i="48"/>
  <c r="H30" i="1"/>
  <c r="C27" i="48"/>
  <c r="G20" i="1"/>
  <c r="B17" i="48"/>
  <c r="G7" i="1"/>
  <c r="B4" i="48"/>
  <c r="H26" i="1"/>
  <c r="C23" i="48"/>
  <c r="H19" i="1"/>
  <c r="C16" i="48"/>
  <c r="H31" i="1"/>
  <c r="C28" i="48"/>
  <c r="H24" i="1"/>
  <c r="C21" i="48"/>
  <c r="G22" i="1"/>
  <c r="B19" i="48"/>
  <c r="H6" i="1"/>
  <c r="D3" i="48" s="1"/>
  <c r="F12" i="1"/>
  <c r="B9" i="48" s="1"/>
  <c r="F14" i="1"/>
  <c r="B11" i="48" s="1"/>
  <c r="J4" i="42"/>
  <c r="AF23" i="3"/>
  <c r="AE23" i="3"/>
  <c r="AB23" i="3"/>
  <c r="AD23" i="3"/>
  <c r="AC23" i="3"/>
  <c r="F24" i="3"/>
  <c r="F37" i="3" s="1"/>
  <c r="F41" i="3" s="1"/>
  <c r="E18" i="3"/>
  <c r="D42" i="3"/>
  <c r="E41" i="3"/>
  <c r="D43" i="3"/>
  <c r="D44" i="3" s="1"/>
  <c r="E23" i="3"/>
  <c r="E20" i="3"/>
  <c r="E19" i="3"/>
  <c r="E22" i="3"/>
  <c r="E21" i="3"/>
  <c r="E17" i="3"/>
  <c r="G20" i="39"/>
  <c r="G21" i="39" s="1"/>
  <c r="E9" i="36"/>
  <c r="E7" i="36"/>
  <c r="E6" i="36"/>
  <c r="E3" i="36"/>
  <c r="E2" i="36"/>
  <c r="I31" i="1" l="1"/>
  <c r="D28" i="48"/>
  <c r="H20" i="1"/>
  <c r="C17" i="48"/>
  <c r="H23" i="1"/>
  <c r="C20" i="48"/>
  <c r="I25" i="1"/>
  <c r="D22" i="48"/>
  <c r="I19" i="1"/>
  <c r="D16" i="48"/>
  <c r="I26" i="1"/>
  <c r="D23" i="48"/>
  <c r="I27" i="1"/>
  <c r="D24" i="48"/>
  <c r="I8" i="1"/>
  <c r="D5" i="48"/>
  <c r="I30" i="1"/>
  <c r="D27" i="48"/>
  <c r="I24" i="1"/>
  <c r="D21" i="48"/>
  <c r="H7" i="1"/>
  <c r="C4" i="48"/>
  <c r="I29" i="1"/>
  <c r="D26" i="48"/>
  <c r="I21" i="1"/>
  <c r="D18" i="48"/>
  <c r="H22" i="1"/>
  <c r="C19" i="48"/>
  <c r="I6" i="1"/>
  <c r="E3" i="48" s="1"/>
  <c r="G22" i="39"/>
  <c r="H23" i="39" s="1"/>
  <c r="E5" i="36"/>
  <c r="E24" i="3"/>
  <c r="G18" i="3"/>
  <c r="G19" i="3"/>
  <c r="W68" i="3"/>
  <c r="V11" i="3"/>
  <c r="J29" i="1" l="1"/>
  <c r="E26" i="48"/>
  <c r="J8" i="1"/>
  <c r="E5" i="48"/>
  <c r="J25" i="1"/>
  <c r="E22" i="48"/>
  <c r="I7" i="1"/>
  <c r="D4" i="48"/>
  <c r="I23" i="1"/>
  <c r="D20" i="48"/>
  <c r="J27" i="1"/>
  <c r="E24" i="48"/>
  <c r="J24" i="1"/>
  <c r="E21" i="48"/>
  <c r="J26" i="1"/>
  <c r="E23" i="48"/>
  <c r="I20" i="1"/>
  <c r="D17" i="48"/>
  <c r="J21" i="1"/>
  <c r="E18" i="48"/>
  <c r="J30" i="1"/>
  <c r="E27" i="48"/>
  <c r="J19" i="1"/>
  <c r="E16" i="48"/>
  <c r="J31" i="1"/>
  <c r="E28" i="48"/>
  <c r="I22" i="1"/>
  <c r="D19" i="48"/>
  <c r="J6" i="1"/>
  <c r="F3" i="48" s="1"/>
  <c r="ED11" i="1"/>
  <c r="EC11" i="1"/>
  <c r="EB11" i="1"/>
  <c r="EA11" i="1"/>
  <c r="DZ11" i="1"/>
  <c r="DY11" i="1"/>
  <c r="DX11" i="1"/>
  <c r="DW11" i="1"/>
  <c r="DV11" i="1"/>
  <c r="DU11" i="1"/>
  <c r="DT11" i="1"/>
  <c r="DS11" i="1"/>
  <c r="ED10" i="1"/>
  <c r="EC10" i="1"/>
  <c r="EB10" i="1"/>
  <c r="EA10" i="1"/>
  <c r="DZ10" i="1"/>
  <c r="DY10" i="1"/>
  <c r="DX10" i="1"/>
  <c r="DW10" i="1"/>
  <c r="DV10" i="1"/>
  <c r="DU10" i="1"/>
  <c r="DT10" i="1"/>
  <c r="DS10" i="1"/>
  <c r="ED9" i="1"/>
  <c r="EC9" i="1"/>
  <c r="EB9" i="1"/>
  <c r="EA9" i="1"/>
  <c r="DZ9" i="1"/>
  <c r="DY9" i="1"/>
  <c r="DX9" i="1"/>
  <c r="DW9" i="1"/>
  <c r="DV9" i="1"/>
  <c r="DU9" i="1"/>
  <c r="DT9" i="1"/>
  <c r="DS9" i="1"/>
  <c r="DQ11" i="1"/>
  <c r="DP11" i="1"/>
  <c r="DO11" i="1"/>
  <c r="DN11" i="1"/>
  <c r="DM11" i="1"/>
  <c r="DL11" i="1"/>
  <c r="DK11" i="1"/>
  <c r="DJ11" i="1"/>
  <c r="DI11" i="1"/>
  <c r="DH11" i="1"/>
  <c r="DG11" i="1"/>
  <c r="DF11" i="1"/>
  <c r="DQ10" i="1"/>
  <c r="DP10" i="1"/>
  <c r="DO10" i="1"/>
  <c r="DN10" i="1"/>
  <c r="DM10" i="1"/>
  <c r="DL10" i="1"/>
  <c r="DK10" i="1"/>
  <c r="DJ10" i="1"/>
  <c r="DI10" i="1"/>
  <c r="DH10" i="1"/>
  <c r="DG10" i="1"/>
  <c r="DF10" i="1"/>
  <c r="DQ9" i="1"/>
  <c r="DP9" i="1"/>
  <c r="DO9" i="1"/>
  <c r="DN9" i="1"/>
  <c r="DM9" i="1"/>
  <c r="DL9" i="1"/>
  <c r="DK9" i="1"/>
  <c r="DJ9" i="1"/>
  <c r="DI9" i="1"/>
  <c r="DH9" i="1"/>
  <c r="DG9" i="1"/>
  <c r="DF9" i="1"/>
  <c r="DD11" i="1"/>
  <c r="DC11" i="1"/>
  <c r="DB11" i="1"/>
  <c r="DA11" i="1"/>
  <c r="CZ11" i="1"/>
  <c r="CY11" i="1"/>
  <c r="CX11" i="1"/>
  <c r="CW11" i="1"/>
  <c r="CV11" i="1"/>
  <c r="CU11" i="1"/>
  <c r="CT11" i="1"/>
  <c r="CS11" i="1"/>
  <c r="DD10" i="1"/>
  <c r="DC10" i="1"/>
  <c r="DB10" i="1"/>
  <c r="DA10" i="1"/>
  <c r="CZ10" i="1"/>
  <c r="CY10" i="1"/>
  <c r="CX10" i="1"/>
  <c r="CW10" i="1"/>
  <c r="CV10" i="1"/>
  <c r="CU10" i="1"/>
  <c r="CT10" i="1"/>
  <c r="CS10" i="1"/>
  <c r="DD9" i="1"/>
  <c r="DC9" i="1"/>
  <c r="DB9" i="1"/>
  <c r="DA9" i="1"/>
  <c r="CZ9" i="1"/>
  <c r="CY9" i="1"/>
  <c r="CX9" i="1"/>
  <c r="CW9" i="1"/>
  <c r="CV9" i="1"/>
  <c r="CU9" i="1"/>
  <c r="CT9" i="1"/>
  <c r="CS9" i="1"/>
  <c r="CQ11" i="1"/>
  <c r="CP11" i="1"/>
  <c r="CO11" i="1"/>
  <c r="CN11" i="1"/>
  <c r="CM11" i="1"/>
  <c r="CL11" i="1"/>
  <c r="CK11" i="1"/>
  <c r="CJ11" i="1"/>
  <c r="CI11" i="1"/>
  <c r="CH11" i="1"/>
  <c r="CG11" i="1"/>
  <c r="CF11" i="1"/>
  <c r="CQ10" i="1"/>
  <c r="CP10" i="1"/>
  <c r="CO10" i="1"/>
  <c r="CN10" i="1"/>
  <c r="CM10" i="1"/>
  <c r="CL10" i="1"/>
  <c r="CK10" i="1"/>
  <c r="CJ10" i="1"/>
  <c r="CI10" i="1"/>
  <c r="CH10" i="1"/>
  <c r="CG10" i="1"/>
  <c r="CF10" i="1"/>
  <c r="CQ9" i="1"/>
  <c r="CP9" i="1"/>
  <c r="CO9" i="1"/>
  <c r="CN9" i="1"/>
  <c r="CM9" i="1"/>
  <c r="CL9" i="1"/>
  <c r="CK9" i="1"/>
  <c r="CJ9" i="1"/>
  <c r="CI9" i="1"/>
  <c r="CH9" i="1"/>
  <c r="CG9" i="1"/>
  <c r="CF9" i="1"/>
  <c r="CD11" i="1"/>
  <c r="CC11" i="1"/>
  <c r="CB11" i="1"/>
  <c r="CA11" i="1"/>
  <c r="BZ11" i="1"/>
  <c r="BY11" i="1"/>
  <c r="BX11" i="1"/>
  <c r="BW11" i="1"/>
  <c r="BV11" i="1"/>
  <c r="BU11" i="1"/>
  <c r="BT11" i="1"/>
  <c r="BS11" i="1"/>
  <c r="CD10" i="1"/>
  <c r="CC10" i="1"/>
  <c r="CB10" i="1"/>
  <c r="CA10" i="1"/>
  <c r="BZ10" i="1"/>
  <c r="BY10" i="1"/>
  <c r="BX10" i="1"/>
  <c r="BW10" i="1"/>
  <c r="BV10" i="1"/>
  <c r="BU10" i="1"/>
  <c r="BT10" i="1"/>
  <c r="BS10" i="1"/>
  <c r="CD9" i="1"/>
  <c r="CC9" i="1"/>
  <c r="CB9" i="1"/>
  <c r="CA9" i="1"/>
  <c r="BZ9" i="1"/>
  <c r="BY9" i="1"/>
  <c r="BX9" i="1"/>
  <c r="BW9" i="1"/>
  <c r="BV9" i="1"/>
  <c r="BU9" i="1"/>
  <c r="BT9" i="1"/>
  <c r="BS9" i="1"/>
  <c r="BQ11" i="1"/>
  <c r="BP11" i="1"/>
  <c r="BO11" i="1"/>
  <c r="BN11" i="1"/>
  <c r="BM11" i="1"/>
  <c r="BL11" i="1"/>
  <c r="BK11" i="1"/>
  <c r="BJ11" i="1"/>
  <c r="BI11" i="1"/>
  <c r="BH11" i="1"/>
  <c r="BG11" i="1"/>
  <c r="BF11" i="1"/>
  <c r="BQ10" i="1"/>
  <c r="BP10" i="1"/>
  <c r="BO10" i="1"/>
  <c r="BN10" i="1"/>
  <c r="BM10" i="1"/>
  <c r="BL10" i="1"/>
  <c r="BK10" i="1"/>
  <c r="BJ10" i="1"/>
  <c r="BI10" i="1"/>
  <c r="BH10" i="1"/>
  <c r="BG10" i="1"/>
  <c r="BF10" i="1"/>
  <c r="BQ9" i="1"/>
  <c r="BP9" i="1"/>
  <c r="BO9" i="1"/>
  <c r="BN9" i="1"/>
  <c r="BM9" i="1"/>
  <c r="BL9" i="1"/>
  <c r="BK9" i="1"/>
  <c r="BJ9" i="1"/>
  <c r="BI9" i="1"/>
  <c r="BH9" i="1"/>
  <c r="BG9" i="1"/>
  <c r="BF9" i="1"/>
  <c r="AQ11" i="1"/>
  <c r="AP11" i="1"/>
  <c r="AO11" i="1"/>
  <c r="AN11" i="1"/>
  <c r="AM11" i="1"/>
  <c r="AL11" i="1"/>
  <c r="AK11" i="1"/>
  <c r="AJ11" i="1"/>
  <c r="AI11" i="1"/>
  <c r="AH11" i="1"/>
  <c r="AG11" i="1"/>
  <c r="AF11" i="1"/>
  <c r="K19" i="1" l="1"/>
  <c r="F16" i="48"/>
  <c r="K26" i="1"/>
  <c r="F23" i="48"/>
  <c r="J7" i="1"/>
  <c r="E4" i="48"/>
  <c r="K24" i="1"/>
  <c r="F21" i="48"/>
  <c r="K25" i="1"/>
  <c r="F22" i="48"/>
  <c r="K21" i="1"/>
  <c r="F18" i="48"/>
  <c r="K27" i="1"/>
  <c r="F24" i="48"/>
  <c r="K8" i="1"/>
  <c r="F5" i="48"/>
  <c r="K30" i="1"/>
  <c r="F27" i="48"/>
  <c r="K31" i="1"/>
  <c r="F28" i="48"/>
  <c r="J20" i="1"/>
  <c r="E17" i="48"/>
  <c r="J23" i="1"/>
  <c r="E20" i="48"/>
  <c r="K29" i="1"/>
  <c r="F26" i="48"/>
  <c r="J22" i="1"/>
  <c r="E19" i="48"/>
  <c r="K6" i="1"/>
  <c r="G3" i="48" s="1"/>
  <c r="D7" i="3"/>
  <c r="J10" i="24"/>
  <c r="I10" i="24" s="1"/>
  <c r="K23" i="1" l="1"/>
  <c r="F20" i="48"/>
  <c r="L8" i="1"/>
  <c r="G5" i="48"/>
  <c r="L24" i="1"/>
  <c r="G21" i="48"/>
  <c r="K20" i="1"/>
  <c r="F17" i="48"/>
  <c r="K7" i="1"/>
  <c r="F4" i="48"/>
  <c r="L27" i="1"/>
  <c r="G24" i="48"/>
  <c r="L31" i="1"/>
  <c r="G28" i="48"/>
  <c r="L21" i="1"/>
  <c r="G18" i="48"/>
  <c r="L26" i="1"/>
  <c r="G23" i="48"/>
  <c r="D10" i="3"/>
  <c r="C4" i="49"/>
  <c r="E4" i="49" s="1"/>
  <c r="G4" i="49" s="1"/>
  <c r="I4" i="49" s="1"/>
  <c r="L29" i="1"/>
  <c r="G26" i="48"/>
  <c r="L30" i="1"/>
  <c r="G27" i="48"/>
  <c r="L25" i="1"/>
  <c r="G22" i="48"/>
  <c r="L19" i="1"/>
  <c r="G16" i="48"/>
  <c r="K22" i="1"/>
  <c r="F19" i="48"/>
  <c r="L6" i="1"/>
  <c r="H3" i="48" s="1"/>
  <c r="D8" i="3"/>
  <c r="R14" i="25"/>
  <c r="V11" i="25" s="1"/>
  <c r="G37" i="3"/>
  <c r="M30" i="1" l="1"/>
  <c r="H27" i="48"/>
  <c r="M21" i="1"/>
  <c r="H18" i="48"/>
  <c r="L20" i="1"/>
  <c r="G17" i="48"/>
  <c r="M31" i="1"/>
  <c r="H28" i="48"/>
  <c r="M19" i="1"/>
  <c r="H16" i="48"/>
  <c r="M27" i="1"/>
  <c r="H24" i="48"/>
  <c r="M8" i="1"/>
  <c r="H5" i="48"/>
  <c r="M29" i="1"/>
  <c r="H26" i="48"/>
  <c r="M24" i="1"/>
  <c r="H21" i="48"/>
  <c r="M25" i="1"/>
  <c r="H22" i="48"/>
  <c r="M26" i="1"/>
  <c r="H23" i="48"/>
  <c r="L7" i="1"/>
  <c r="G4" i="48"/>
  <c r="L23" i="1"/>
  <c r="G20" i="48"/>
  <c r="L22" i="1"/>
  <c r="G19" i="48"/>
  <c r="M6" i="1"/>
  <c r="I3" i="48" s="1"/>
  <c r="E4" i="36"/>
  <c r="N31" i="1" l="1"/>
  <c r="I28" i="48"/>
  <c r="N26" i="1"/>
  <c r="I23" i="48"/>
  <c r="N8" i="1"/>
  <c r="I5" i="48"/>
  <c r="N25" i="1"/>
  <c r="I22" i="48"/>
  <c r="N27" i="1"/>
  <c r="I24" i="48"/>
  <c r="N21" i="1"/>
  <c r="I18" i="48"/>
  <c r="M7" i="1"/>
  <c r="H4" i="48"/>
  <c r="M20" i="1"/>
  <c r="H17" i="48"/>
  <c r="N29" i="1"/>
  <c r="I26" i="48"/>
  <c r="M23" i="1"/>
  <c r="H20" i="48"/>
  <c r="N24" i="1"/>
  <c r="I21" i="48"/>
  <c r="N19" i="1"/>
  <c r="I16" i="48"/>
  <c r="N30" i="1"/>
  <c r="I27" i="48"/>
  <c r="M22" i="1"/>
  <c r="H19" i="48"/>
  <c r="N6" i="1"/>
  <c r="J3" i="48" s="1"/>
  <c r="F7" i="38"/>
  <c r="C32" i="25"/>
  <c r="C31" i="25"/>
  <c r="S10" i="1"/>
  <c r="O25" i="1" l="1"/>
  <c r="J22" i="48"/>
  <c r="N7" i="1"/>
  <c r="I4" i="48"/>
  <c r="O24" i="1"/>
  <c r="J21" i="48"/>
  <c r="O8" i="1"/>
  <c r="J5" i="48"/>
  <c r="O26" i="1"/>
  <c r="J23" i="48"/>
  <c r="O19" i="1"/>
  <c r="J16" i="48"/>
  <c r="N23" i="1"/>
  <c r="I20" i="48"/>
  <c r="N20" i="1"/>
  <c r="I17" i="48"/>
  <c r="O21" i="1"/>
  <c r="J18" i="48"/>
  <c r="O30" i="1"/>
  <c r="J27" i="48"/>
  <c r="O29" i="1"/>
  <c r="J26" i="48"/>
  <c r="O27" i="1"/>
  <c r="J24" i="48"/>
  <c r="O31" i="1"/>
  <c r="J28" i="48"/>
  <c r="N22" i="1"/>
  <c r="I19" i="48"/>
  <c r="O6" i="1"/>
  <c r="K3" i="48" s="1"/>
  <c r="G7" i="38"/>
  <c r="H7" i="38"/>
  <c r="R6" i="20"/>
  <c r="S6" i="20" s="1"/>
  <c r="T6" i="20" s="1"/>
  <c r="U6" i="20" s="1"/>
  <c r="V6" i="20" s="1"/>
  <c r="W6" i="20" s="1"/>
  <c r="X6" i="20" s="1"/>
  <c r="Y6" i="20" s="1"/>
  <c r="Z6" i="20" s="1"/>
  <c r="AA6" i="20" s="1"/>
  <c r="Q6" i="20"/>
  <c r="P29" i="1" l="1"/>
  <c r="K26" i="48"/>
  <c r="O23" i="1"/>
  <c r="J20" i="48"/>
  <c r="P24" i="1"/>
  <c r="K21" i="48"/>
  <c r="O20" i="1"/>
  <c r="J17" i="48"/>
  <c r="P30" i="1"/>
  <c r="K27" i="48"/>
  <c r="P19" i="1"/>
  <c r="K16" i="48"/>
  <c r="O7" i="1"/>
  <c r="J4" i="48"/>
  <c r="P27" i="1"/>
  <c r="K24" i="48"/>
  <c r="P8" i="1"/>
  <c r="K5" i="48"/>
  <c r="P31" i="1"/>
  <c r="K28" i="48"/>
  <c r="P21" i="1"/>
  <c r="K18" i="48"/>
  <c r="P26" i="1"/>
  <c r="K23" i="48"/>
  <c r="P25" i="1"/>
  <c r="K22" i="48"/>
  <c r="O22" i="1"/>
  <c r="J19" i="48"/>
  <c r="P6" i="1"/>
  <c r="L3" i="48" s="1"/>
  <c r="AB6" i="20"/>
  <c r="AC6" i="20" s="1"/>
  <c r="AD6" i="20" s="1"/>
  <c r="AE6" i="20" s="1"/>
  <c r="AF6" i="20" s="1"/>
  <c r="AG6" i="20" s="1"/>
  <c r="AH6" i="20" s="1"/>
  <c r="AI6" i="20" s="1"/>
  <c r="AJ6" i="20" s="1"/>
  <c r="AK6" i="20" s="1"/>
  <c r="AL6" i="20" s="1"/>
  <c r="AM6" i="20" s="1"/>
  <c r="AN6" i="20" s="1"/>
  <c r="AO6" i="20" s="1"/>
  <c r="AP6" i="20" s="1"/>
  <c r="AQ6" i="20" s="1"/>
  <c r="AR6" i="20" s="1"/>
  <c r="AS6" i="20" s="1"/>
  <c r="AT6" i="20" s="1"/>
  <c r="AU6" i="20" s="1"/>
  <c r="AV6" i="20" s="1"/>
  <c r="AW6" i="20" s="1"/>
  <c r="AX6" i="20" s="1"/>
  <c r="AY6" i="20" s="1"/>
  <c r="AZ6" i="20" s="1"/>
  <c r="BA6" i="20" s="1"/>
  <c r="BB6" i="20" s="1"/>
  <c r="BC6" i="20" s="1"/>
  <c r="BD6" i="20" s="1"/>
  <c r="BE6" i="20" s="1"/>
  <c r="BF6" i="20" s="1"/>
  <c r="BG6" i="20" s="1"/>
  <c r="BH6" i="20" s="1"/>
  <c r="Q26" i="1" l="1"/>
  <c r="L23" i="48"/>
  <c r="P20" i="1"/>
  <c r="K17" i="48"/>
  <c r="Q21" i="1"/>
  <c r="L18" i="48"/>
  <c r="P7" i="1"/>
  <c r="K4" i="48"/>
  <c r="Q24" i="1"/>
  <c r="L21" i="48"/>
  <c r="P23" i="1"/>
  <c r="K20" i="48"/>
  <c r="Q19" i="1"/>
  <c r="L16" i="48"/>
  <c r="Q27" i="1"/>
  <c r="L24" i="48"/>
  <c r="Q31" i="1"/>
  <c r="L28" i="48"/>
  <c r="Q25" i="1"/>
  <c r="L22" i="48"/>
  <c r="Q8" i="1"/>
  <c r="L5" i="48"/>
  <c r="Q30" i="1"/>
  <c r="L27" i="48"/>
  <c r="Q29" i="1"/>
  <c r="L26" i="48"/>
  <c r="P22" i="1"/>
  <c r="K19" i="48"/>
  <c r="Q6" i="1"/>
  <c r="M3" i="48" s="1"/>
  <c r="W63" i="3"/>
  <c r="Q7" i="1" l="1"/>
  <c r="L4" i="48"/>
  <c r="S30" i="1"/>
  <c r="T30" i="1" s="1"/>
  <c r="U30" i="1" s="1"/>
  <c r="V30" i="1" s="1"/>
  <c r="W30" i="1" s="1"/>
  <c r="X30" i="1" s="1"/>
  <c r="Y30" i="1" s="1"/>
  <c r="Z30" i="1" s="1"/>
  <c r="AA30" i="1" s="1"/>
  <c r="AB30" i="1" s="1"/>
  <c r="AC30" i="1" s="1"/>
  <c r="AD30" i="1" s="1"/>
  <c r="AF30" i="1" s="1"/>
  <c r="AG30" i="1" s="1"/>
  <c r="AH30" i="1" s="1"/>
  <c r="AI30" i="1" s="1"/>
  <c r="AJ30" i="1" s="1"/>
  <c r="AK30" i="1" s="1"/>
  <c r="AL30" i="1" s="1"/>
  <c r="AM30" i="1" s="1"/>
  <c r="AN30" i="1" s="1"/>
  <c r="AO30" i="1" s="1"/>
  <c r="AP30" i="1" s="1"/>
  <c r="AQ30" i="1" s="1"/>
  <c r="AS30" i="1" s="1"/>
  <c r="AT30" i="1" s="1"/>
  <c r="AU30" i="1" s="1"/>
  <c r="AV30" i="1" s="1"/>
  <c r="AW30" i="1" s="1"/>
  <c r="AX30" i="1" s="1"/>
  <c r="AY30" i="1" s="1"/>
  <c r="AZ30" i="1" s="1"/>
  <c r="BA30" i="1" s="1"/>
  <c r="BB30" i="1" s="1"/>
  <c r="BC30" i="1" s="1"/>
  <c r="BD30" i="1" s="1"/>
  <c r="BF30" i="1" s="1"/>
  <c r="BG30" i="1" s="1"/>
  <c r="BH30" i="1" s="1"/>
  <c r="BI30" i="1" s="1"/>
  <c r="BJ30" i="1" s="1"/>
  <c r="BK30" i="1" s="1"/>
  <c r="BL30" i="1" s="1"/>
  <c r="BM30" i="1" s="1"/>
  <c r="BN30" i="1" s="1"/>
  <c r="BO30" i="1" s="1"/>
  <c r="BP30" i="1" s="1"/>
  <c r="BQ30" i="1" s="1"/>
  <c r="BS30" i="1" s="1"/>
  <c r="BT30" i="1" s="1"/>
  <c r="BU30" i="1" s="1"/>
  <c r="BV30" i="1" s="1"/>
  <c r="BW30" i="1" s="1"/>
  <c r="BX30" i="1" s="1"/>
  <c r="BY30" i="1" s="1"/>
  <c r="BZ30" i="1" s="1"/>
  <c r="CA30" i="1" s="1"/>
  <c r="CB30" i="1" s="1"/>
  <c r="CC30" i="1" s="1"/>
  <c r="CD30" i="1" s="1"/>
  <c r="CF30" i="1" s="1"/>
  <c r="CG30" i="1" s="1"/>
  <c r="CH30" i="1" s="1"/>
  <c r="CI30" i="1" s="1"/>
  <c r="CJ30" i="1" s="1"/>
  <c r="CK30" i="1" s="1"/>
  <c r="CL30" i="1" s="1"/>
  <c r="CM30" i="1" s="1"/>
  <c r="CN30" i="1" s="1"/>
  <c r="CO30" i="1" s="1"/>
  <c r="CP30" i="1" s="1"/>
  <c r="CQ30" i="1" s="1"/>
  <c r="CS30" i="1" s="1"/>
  <c r="CT30" i="1" s="1"/>
  <c r="CU30" i="1" s="1"/>
  <c r="CV30" i="1" s="1"/>
  <c r="CW30" i="1" s="1"/>
  <c r="CX30" i="1" s="1"/>
  <c r="CY30" i="1" s="1"/>
  <c r="CZ30" i="1" s="1"/>
  <c r="DA30" i="1" s="1"/>
  <c r="DB30" i="1" s="1"/>
  <c r="DC30" i="1" s="1"/>
  <c r="DD30" i="1" s="1"/>
  <c r="DF30" i="1" s="1"/>
  <c r="DG30" i="1" s="1"/>
  <c r="DH30" i="1" s="1"/>
  <c r="DI30" i="1" s="1"/>
  <c r="DJ30" i="1" s="1"/>
  <c r="DK30" i="1" s="1"/>
  <c r="DL30" i="1" s="1"/>
  <c r="DM30" i="1" s="1"/>
  <c r="DN30" i="1" s="1"/>
  <c r="DO30" i="1" s="1"/>
  <c r="DP30" i="1" s="1"/>
  <c r="DQ30" i="1" s="1"/>
  <c r="DS30" i="1" s="1"/>
  <c r="DT30" i="1" s="1"/>
  <c r="DU30" i="1" s="1"/>
  <c r="DV30" i="1" s="1"/>
  <c r="DW30" i="1" s="1"/>
  <c r="DX30" i="1" s="1"/>
  <c r="DY30" i="1" s="1"/>
  <c r="DZ30" i="1" s="1"/>
  <c r="EA30" i="1" s="1"/>
  <c r="EB30" i="1" s="1"/>
  <c r="EC30" i="1" s="1"/>
  <c r="ED30" i="1" s="1"/>
  <c r="M27" i="48"/>
  <c r="S27" i="1"/>
  <c r="T27" i="1" s="1"/>
  <c r="U27" i="1" s="1"/>
  <c r="V27" i="1" s="1"/>
  <c r="W27" i="1" s="1"/>
  <c r="X27" i="1" s="1"/>
  <c r="Y27" i="1" s="1"/>
  <c r="Z27" i="1" s="1"/>
  <c r="AA27" i="1" s="1"/>
  <c r="AB27" i="1" s="1"/>
  <c r="AC27" i="1" s="1"/>
  <c r="AD27" i="1" s="1"/>
  <c r="AF27" i="1" s="1"/>
  <c r="AG27" i="1" s="1"/>
  <c r="AH27" i="1" s="1"/>
  <c r="AI27" i="1" s="1"/>
  <c r="AJ27" i="1" s="1"/>
  <c r="AK27" i="1" s="1"/>
  <c r="AL27" i="1" s="1"/>
  <c r="AM27" i="1" s="1"/>
  <c r="AN27" i="1" s="1"/>
  <c r="AO27" i="1" s="1"/>
  <c r="AP27" i="1" s="1"/>
  <c r="AQ27" i="1" s="1"/>
  <c r="AS27" i="1" s="1"/>
  <c r="AT27" i="1" s="1"/>
  <c r="AU27" i="1" s="1"/>
  <c r="AV27" i="1" s="1"/>
  <c r="AW27" i="1" s="1"/>
  <c r="AX27" i="1" s="1"/>
  <c r="AY27" i="1" s="1"/>
  <c r="AZ27" i="1" s="1"/>
  <c r="BA27" i="1" s="1"/>
  <c r="BB27" i="1" s="1"/>
  <c r="BC27" i="1" s="1"/>
  <c r="BD27" i="1" s="1"/>
  <c r="BF27" i="1" s="1"/>
  <c r="BG27" i="1" s="1"/>
  <c r="BH27" i="1" s="1"/>
  <c r="BI27" i="1" s="1"/>
  <c r="BJ27" i="1" s="1"/>
  <c r="BK27" i="1" s="1"/>
  <c r="BL27" i="1" s="1"/>
  <c r="BM27" i="1" s="1"/>
  <c r="BN27" i="1" s="1"/>
  <c r="BO27" i="1" s="1"/>
  <c r="BP27" i="1" s="1"/>
  <c r="BQ27" i="1" s="1"/>
  <c r="BS27" i="1" s="1"/>
  <c r="BT27" i="1" s="1"/>
  <c r="BU27" i="1" s="1"/>
  <c r="BV27" i="1" s="1"/>
  <c r="BW27" i="1" s="1"/>
  <c r="BX27" i="1" s="1"/>
  <c r="BY27" i="1" s="1"/>
  <c r="BZ27" i="1" s="1"/>
  <c r="CA27" i="1" s="1"/>
  <c r="CB27" i="1" s="1"/>
  <c r="CC27" i="1" s="1"/>
  <c r="CD27" i="1" s="1"/>
  <c r="CF27" i="1" s="1"/>
  <c r="CG27" i="1" s="1"/>
  <c r="CH27" i="1" s="1"/>
  <c r="CI27" i="1" s="1"/>
  <c r="CJ27" i="1" s="1"/>
  <c r="CK27" i="1" s="1"/>
  <c r="CL27" i="1" s="1"/>
  <c r="CM27" i="1" s="1"/>
  <c r="CN27" i="1" s="1"/>
  <c r="CO27" i="1" s="1"/>
  <c r="CP27" i="1" s="1"/>
  <c r="CQ27" i="1" s="1"/>
  <c r="CS27" i="1" s="1"/>
  <c r="CT27" i="1" s="1"/>
  <c r="CU27" i="1" s="1"/>
  <c r="CV27" i="1" s="1"/>
  <c r="CW27" i="1" s="1"/>
  <c r="CX27" i="1" s="1"/>
  <c r="CY27" i="1" s="1"/>
  <c r="CZ27" i="1" s="1"/>
  <c r="DA27" i="1" s="1"/>
  <c r="DB27" i="1" s="1"/>
  <c r="DC27" i="1" s="1"/>
  <c r="DD27" i="1" s="1"/>
  <c r="DF27" i="1" s="1"/>
  <c r="DG27" i="1" s="1"/>
  <c r="DH27" i="1" s="1"/>
  <c r="DI27" i="1" s="1"/>
  <c r="DJ27" i="1" s="1"/>
  <c r="DK27" i="1" s="1"/>
  <c r="DL27" i="1" s="1"/>
  <c r="DM27" i="1" s="1"/>
  <c r="DN27" i="1" s="1"/>
  <c r="DO27" i="1" s="1"/>
  <c r="DP27" i="1" s="1"/>
  <c r="DQ27" i="1" s="1"/>
  <c r="DS27" i="1" s="1"/>
  <c r="DT27" i="1" s="1"/>
  <c r="DU27" i="1" s="1"/>
  <c r="DV27" i="1" s="1"/>
  <c r="DW27" i="1" s="1"/>
  <c r="DX27" i="1" s="1"/>
  <c r="DY27" i="1" s="1"/>
  <c r="DZ27" i="1" s="1"/>
  <c r="EA27" i="1" s="1"/>
  <c r="EB27" i="1" s="1"/>
  <c r="EC27" i="1" s="1"/>
  <c r="ED27" i="1" s="1"/>
  <c r="M24" i="48"/>
  <c r="S8" i="1"/>
  <c r="T8" i="1" s="1"/>
  <c r="U8" i="1" s="1"/>
  <c r="V8" i="1" s="1"/>
  <c r="W8" i="1" s="1"/>
  <c r="X8" i="1" s="1"/>
  <c r="Y8" i="1" s="1"/>
  <c r="Z8" i="1" s="1"/>
  <c r="AA8" i="1" s="1"/>
  <c r="AB8" i="1" s="1"/>
  <c r="AC8" i="1" s="1"/>
  <c r="AD8" i="1" s="1"/>
  <c r="AF8" i="1" s="1"/>
  <c r="AG8" i="1" s="1"/>
  <c r="AH8" i="1" s="1"/>
  <c r="AI8" i="1" s="1"/>
  <c r="AJ8" i="1" s="1"/>
  <c r="AK8" i="1" s="1"/>
  <c r="AL8" i="1" s="1"/>
  <c r="AM8" i="1" s="1"/>
  <c r="AN8" i="1" s="1"/>
  <c r="AO8" i="1" s="1"/>
  <c r="AP8" i="1" s="1"/>
  <c r="AQ8" i="1" s="1"/>
  <c r="AS8" i="1" s="1"/>
  <c r="AT8" i="1" s="1"/>
  <c r="AU8" i="1" s="1"/>
  <c r="AV8" i="1" s="1"/>
  <c r="AW8" i="1" s="1"/>
  <c r="AX8" i="1" s="1"/>
  <c r="AY8" i="1" s="1"/>
  <c r="AZ8" i="1" s="1"/>
  <c r="BA8" i="1" s="1"/>
  <c r="BB8" i="1" s="1"/>
  <c r="BC8" i="1" s="1"/>
  <c r="BD8" i="1" s="1"/>
  <c r="BF8" i="1" s="1"/>
  <c r="BG8" i="1" s="1"/>
  <c r="BH8" i="1" s="1"/>
  <c r="BI8" i="1" s="1"/>
  <c r="BJ8" i="1" s="1"/>
  <c r="BK8" i="1" s="1"/>
  <c r="BL8" i="1" s="1"/>
  <c r="BM8" i="1" s="1"/>
  <c r="BN8" i="1" s="1"/>
  <c r="BO8" i="1" s="1"/>
  <c r="BP8" i="1" s="1"/>
  <c r="BQ8" i="1" s="1"/>
  <c r="BS8" i="1" s="1"/>
  <c r="BT8" i="1" s="1"/>
  <c r="BU8" i="1" s="1"/>
  <c r="BV8" i="1" s="1"/>
  <c r="BW8" i="1" s="1"/>
  <c r="BX8" i="1" s="1"/>
  <c r="BY8" i="1" s="1"/>
  <c r="BZ8" i="1" s="1"/>
  <c r="CA8" i="1" s="1"/>
  <c r="CB8" i="1" s="1"/>
  <c r="CC8" i="1" s="1"/>
  <c r="CD8" i="1" s="1"/>
  <c r="CF8" i="1" s="1"/>
  <c r="CG8" i="1" s="1"/>
  <c r="CH8" i="1" s="1"/>
  <c r="CI8" i="1" s="1"/>
  <c r="CJ8" i="1" s="1"/>
  <c r="CK8" i="1" s="1"/>
  <c r="CL8" i="1" s="1"/>
  <c r="CM8" i="1" s="1"/>
  <c r="CN8" i="1" s="1"/>
  <c r="CO8" i="1" s="1"/>
  <c r="CP8" i="1" s="1"/>
  <c r="CQ8" i="1" s="1"/>
  <c r="CS8" i="1" s="1"/>
  <c r="CT8" i="1" s="1"/>
  <c r="CU8" i="1" s="1"/>
  <c r="CV8" i="1" s="1"/>
  <c r="CW8" i="1" s="1"/>
  <c r="CX8" i="1" s="1"/>
  <c r="CY8" i="1" s="1"/>
  <c r="CZ8" i="1" s="1"/>
  <c r="DA8" i="1" s="1"/>
  <c r="DB8" i="1" s="1"/>
  <c r="DC8" i="1" s="1"/>
  <c r="DD8" i="1" s="1"/>
  <c r="DF8" i="1" s="1"/>
  <c r="DG8" i="1" s="1"/>
  <c r="DH8" i="1" s="1"/>
  <c r="DI8" i="1" s="1"/>
  <c r="DJ8" i="1" s="1"/>
  <c r="DK8" i="1" s="1"/>
  <c r="DL8" i="1" s="1"/>
  <c r="DM8" i="1" s="1"/>
  <c r="DN8" i="1" s="1"/>
  <c r="DO8" i="1" s="1"/>
  <c r="DP8" i="1" s="1"/>
  <c r="DQ8" i="1" s="1"/>
  <c r="DS8" i="1" s="1"/>
  <c r="DT8" i="1" s="1"/>
  <c r="DU8" i="1" s="1"/>
  <c r="DV8" i="1" s="1"/>
  <c r="DW8" i="1" s="1"/>
  <c r="DX8" i="1" s="1"/>
  <c r="DY8" i="1" s="1"/>
  <c r="DZ8" i="1" s="1"/>
  <c r="EA8" i="1" s="1"/>
  <c r="EB8" i="1" s="1"/>
  <c r="EC8" i="1" s="1"/>
  <c r="ED8" i="1" s="1"/>
  <c r="M5" i="48"/>
  <c r="S19" i="1"/>
  <c r="T19" i="1" s="1"/>
  <c r="U19" i="1" s="1"/>
  <c r="V19" i="1" s="1"/>
  <c r="W19" i="1" s="1"/>
  <c r="X19" i="1" s="1"/>
  <c r="Y19" i="1" s="1"/>
  <c r="Z19" i="1" s="1"/>
  <c r="AA19" i="1" s="1"/>
  <c r="AB19" i="1" s="1"/>
  <c r="AC19" i="1" s="1"/>
  <c r="AD19" i="1" s="1"/>
  <c r="AF19" i="1" s="1"/>
  <c r="AG19" i="1" s="1"/>
  <c r="AH19" i="1" s="1"/>
  <c r="AI19" i="1" s="1"/>
  <c r="AJ19" i="1" s="1"/>
  <c r="AK19" i="1" s="1"/>
  <c r="AL19" i="1" s="1"/>
  <c r="AM19" i="1" s="1"/>
  <c r="AN19" i="1" s="1"/>
  <c r="AO19" i="1" s="1"/>
  <c r="AP19" i="1" s="1"/>
  <c r="AQ19" i="1" s="1"/>
  <c r="AS19" i="1" s="1"/>
  <c r="AT19" i="1" s="1"/>
  <c r="AU19" i="1" s="1"/>
  <c r="AV19" i="1" s="1"/>
  <c r="AW19" i="1" s="1"/>
  <c r="AX19" i="1" s="1"/>
  <c r="AY19" i="1" s="1"/>
  <c r="AZ19" i="1" s="1"/>
  <c r="BA19" i="1" s="1"/>
  <c r="BB19" i="1" s="1"/>
  <c r="BC19" i="1" s="1"/>
  <c r="BD19" i="1" s="1"/>
  <c r="BF19" i="1" s="1"/>
  <c r="BG19" i="1" s="1"/>
  <c r="BH19" i="1" s="1"/>
  <c r="BI19" i="1" s="1"/>
  <c r="BJ19" i="1" s="1"/>
  <c r="BK19" i="1" s="1"/>
  <c r="BL19" i="1" s="1"/>
  <c r="BM19" i="1" s="1"/>
  <c r="BN19" i="1" s="1"/>
  <c r="BO19" i="1" s="1"/>
  <c r="BP19" i="1" s="1"/>
  <c r="BQ19" i="1" s="1"/>
  <c r="BS19" i="1" s="1"/>
  <c r="BT19" i="1" s="1"/>
  <c r="BU19" i="1" s="1"/>
  <c r="BV19" i="1" s="1"/>
  <c r="BW19" i="1" s="1"/>
  <c r="BX19" i="1" s="1"/>
  <c r="BY19" i="1" s="1"/>
  <c r="BZ19" i="1" s="1"/>
  <c r="CA19" i="1" s="1"/>
  <c r="CB19" i="1" s="1"/>
  <c r="CC19" i="1" s="1"/>
  <c r="CD19" i="1" s="1"/>
  <c r="CF19" i="1" s="1"/>
  <c r="CG19" i="1" s="1"/>
  <c r="CH19" i="1" s="1"/>
  <c r="CI19" i="1" s="1"/>
  <c r="CJ19" i="1" s="1"/>
  <c r="CK19" i="1" s="1"/>
  <c r="CL19" i="1" s="1"/>
  <c r="CM19" i="1" s="1"/>
  <c r="CN19" i="1" s="1"/>
  <c r="CO19" i="1" s="1"/>
  <c r="CP19" i="1" s="1"/>
  <c r="CQ19" i="1" s="1"/>
  <c r="CS19" i="1" s="1"/>
  <c r="CT19" i="1" s="1"/>
  <c r="CU19" i="1" s="1"/>
  <c r="CV19" i="1" s="1"/>
  <c r="CW19" i="1" s="1"/>
  <c r="CX19" i="1" s="1"/>
  <c r="CY19" i="1" s="1"/>
  <c r="CZ19" i="1" s="1"/>
  <c r="DA19" i="1" s="1"/>
  <c r="DB19" i="1" s="1"/>
  <c r="DC19" i="1" s="1"/>
  <c r="DD19" i="1" s="1"/>
  <c r="DF19" i="1" s="1"/>
  <c r="DG19" i="1" s="1"/>
  <c r="DH19" i="1" s="1"/>
  <c r="DI19" i="1" s="1"/>
  <c r="DJ19" i="1" s="1"/>
  <c r="DK19" i="1" s="1"/>
  <c r="DL19" i="1" s="1"/>
  <c r="DM19" i="1" s="1"/>
  <c r="DN19" i="1" s="1"/>
  <c r="DO19" i="1" s="1"/>
  <c r="DP19" i="1" s="1"/>
  <c r="DQ19" i="1" s="1"/>
  <c r="DS19" i="1" s="1"/>
  <c r="DT19" i="1" s="1"/>
  <c r="DU19" i="1" s="1"/>
  <c r="DV19" i="1" s="1"/>
  <c r="DW19" i="1" s="1"/>
  <c r="DX19" i="1" s="1"/>
  <c r="DY19" i="1" s="1"/>
  <c r="DZ19" i="1" s="1"/>
  <c r="EA19" i="1" s="1"/>
  <c r="EB19" i="1" s="1"/>
  <c r="EC19" i="1" s="1"/>
  <c r="ED19" i="1" s="1"/>
  <c r="M16" i="48"/>
  <c r="S21" i="1"/>
  <c r="T21" i="1" s="1"/>
  <c r="U21" i="1" s="1"/>
  <c r="V21" i="1" s="1"/>
  <c r="W21" i="1" s="1"/>
  <c r="X21" i="1" s="1"/>
  <c r="Y21" i="1" s="1"/>
  <c r="Z21" i="1" s="1"/>
  <c r="AA21" i="1" s="1"/>
  <c r="AB21" i="1" s="1"/>
  <c r="AC21" i="1" s="1"/>
  <c r="AD21" i="1" s="1"/>
  <c r="AF21" i="1" s="1"/>
  <c r="AG21" i="1" s="1"/>
  <c r="AH21" i="1" s="1"/>
  <c r="AI21" i="1" s="1"/>
  <c r="AJ21" i="1" s="1"/>
  <c r="AK21" i="1" s="1"/>
  <c r="AL21" i="1" s="1"/>
  <c r="AM21" i="1" s="1"/>
  <c r="AN21" i="1" s="1"/>
  <c r="AO21" i="1" s="1"/>
  <c r="AP21" i="1" s="1"/>
  <c r="AQ21" i="1" s="1"/>
  <c r="AS21" i="1" s="1"/>
  <c r="AT21" i="1" s="1"/>
  <c r="AU21" i="1" s="1"/>
  <c r="AV21" i="1" s="1"/>
  <c r="AW21" i="1" s="1"/>
  <c r="AX21" i="1" s="1"/>
  <c r="AY21" i="1" s="1"/>
  <c r="AZ21" i="1" s="1"/>
  <c r="BA21" i="1" s="1"/>
  <c r="BB21" i="1" s="1"/>
  <c r="BC21" i="1" s="1"/>
  <c r="BD21" i="1" s="1"/>
  <c r="BF21" i="1" s="1"/>
  <c r="BG21" i="1" s="1"/>
  <c r="BH21" i="1" s="1"/>
  <c r="BI21" i="1" s="1"/>
  <c r="BJ21" i="1" s="1"/>
  <c r="BK21" i="1" s="1"/>
  <c r="BL21" i="1" s="1"/>
  <c r="BM21" i="1" s="1"/>
  <c r="BN21" i="1" s="1"/>
  <c r="BO21" i="1" s="1"/>
  <c r="BP21" i="1" s="1"/>
  <c r="BQ21" i="1" s="1"/>
  <c r="BS21" i="1" s="1"/>
  <c r="BT21" i="1" s="1"/>
  <c r="BU21" i="1" s="1"/>
  <c r="BV21" i="1" s="1"/>
  <c r="BW21" i="1" s="1"/>
  <c r="BX21" i="1" s="1"/>
  <c r="BY21" i="1" s="1"/>
  <c r="BZ21" i="1" s="1"/>
  <c r="CA21" i="1" s="1"/>
  <c r="CB21" i="1" s="1"/>
  <c r="CC21" i="1" s="1"/>
  <c r="CD21" i="1" s="1"/>
  <c r="CF21" i="1" s="1"/>
  <c r="CG21" i="1" s="1"/>
  <c r="CH21" i="1" s="1"/>
  <c r="CI21" i="1" s="1"/>
  <c r="CJ21" i="1" s="1"/>
  <c r="CK21" i="1" s="1"/>
  <c r="CL21" i="1" s="1"/>
  <c r="CM21" i="1" s="1"/>
  <c r="CN21" i="1" s="1"/>
  <c r="CO21" i="1" s="1"/>
  <c r="CP21" i="1" s="1"/>
  <c r="CQ21" i="1" s="1"/>
  <c r="CS21" i="1" s="1"/>
  <c r="CT21" i="1" s="1"/>
  <c r="CU21" i="1" s="1"/>
  <c r="CV21" i="1" s="1"/>
  <c r="CW21" i="1" s="1"/>
  <c r="CX21" i="1" s="1"/>
  <c r="CY21" i="1" s="1"/>
  <c r="CZ21" i="1" s="1"/>
  <c r="DA21" i="1" s="1"/>
  <c r="DB21" i="1" s="1"/>
  <c r="DC21" i="1" s="1"/>
  <c r="DD21" i="1" s="1"/>
  <c r="DF21" i="1" s="1"/>
  <c r="DG21" i="1" s="1"/>
  <c r="DH21" i="1" s="1"/>
  <c r="DI21" i="1" s="1"/>
  <c r="DJ21" i="1" s="1"/>
  <c r="DK21" i="1" s="1"/>
  <c r="DL21" i="1" s="1"/>
  <c r="DM21" i="1" s="1"/>
  <c r="DN21" i="1" s="1"/>
  <c r="DO21" i="1" s="1"/>
  <c r="DP21" i="1" s="1"/>
  <c r="DQ21" i="1" s="1"/>
  <c r="DS21" i="1" s="1"/>
  <c r="DT21" i="1" s="1"/>
  <c r="DU21" i="1" s="1"/>
  <c r="DV21" i="1" s="1"/>
  <c r="DW21" i="1" s="1"/>
  <c r="DX21" i="1" s="1"/>
  <c r="DY21" i="1" s="1"/>
  <c r="DZ21" i="1" s="1"/>
  <c r="EA21" i="1" s="1"/>
  <c r="EB21" i="1" s="1"/>
  <c r="EC21" i="1" s="1"/>
  <c r="ED21" i="1" s="1"/>
  <c r="M18" i="48"/>
  <c r="Q20" i="1"/>
  <c r="L17" i="48"/>
  <c r="S25" i="1"/>
  <c r="T25" i="1" s="1"/>
  <c r="U25" i="1" s="1"/>
  <c r="V25" i="1" s="1"/>
  <c r="W25" i="1" s="1"/>
  <c r="X25" i="1" s="1"/>
  <c r="Y25" i="1" s="1"/>
  <c r="Z25" i="1" s="1"/>
  <c r="AA25" i="1" s="1"/>
  <c r="AB25" i="1" s="1"/>
  <c r="AC25" i="1" s="1"/>
  <c r="AD25" i="1" s="1"/>
  <c r="AF25" i="1" s="1"/>
  <c r="AG25" i="1" s="1"/>
  <c r="AH25" i="1" s="1"/>
  <c r="AI25" i="1" s="1"/>
  <c r="AJ25" i="1" s="1"/>
  <c r="AK25" i="1" s="1"/>
  <c r="AL25" i="1" s="1"/>
  <c r="AM25" i="1" s="1"/>
  <c r="AN25" i="1" s="1"/>
  <c r="AO25" i="1" s="1"/>
  <c r="AP25" i="1" s="1"/>
  <c r="AQ25" i="1" s="1"/>
  <c r="AS25" i="1" s="1"/>
  <c r="AT25" i="1" s="1"/>
  <c r="AU25" i="1" s="1"/>
  <c r="AV25" i="1" s="1"/>
  <c r="AW25" i="1" s="1"/>
  <c r="AX25" i="1" s="1"/>
  <c r="AY25" i="1" s="1"/>
  <c r="AZ25" i="1" s="1"/>
  <c r="BA25" i="1" s="1"/>
  <c r="BB25" i="1" s="1"/>
  <c r="BC25" i="1" s="1"/>
  <c r="BD25" i="1" s="1"/>
  <c r="BF25" i="1" s="1"/>
  <c r="BG25" i="1" s="1"/>
  <c r="BH25" i="1" s="1"/>
  <c r="BI25" i="1" s="1"/>
  <c r="BJ25" i="1" s="1"/>
  <c r="BK25" i="1" s="1"/>
  <c r="BL25" i="1" s="1"/>
  <c r="BM25" i="1" s="1"/>
  <c r="BN25" i="1" s="1"/>
  <c r="BO25" i="1" s="1"/>
  <c r="BP25" i="1" s="1"/>
  <c r="BQ25" i="1" s="1"/>
  <c r="BS25" i="1" s="1"/>
  <c r="BT25" i="1" s="1"/>
  <c r="BU25" i="1" s="1"/>
  <c r="BV25" i="1" s="1"/>
  <c r="BW25" i="1" s="1"/>
  <c r="BX25" i="1" s="1"/>
  <c r="BY25" i="1" s="1"/>
  <c r="BZ25" i="1" s="1"/>
  <c r="CA25" i="1" s="1"/>
  <c r="CB25" i="1" s="1"/>
  <c r="CC25" i="1" s="1"/>
  <c r="CD25" i="1" s="1"/>
  <c r="CF25" i="1" s="1"/>
  <c r="CG25" i="1" s="1"/>
  <c r="CH25" i="1" s="1"/>
  <c r="CI25" i="1" s="1"/>
  <c r="CJ25" i="1" s="1"/>
  <c r="CK25" i="1" s="1"/>
  <c r="CL25" i="1" s="1"/>
  <c r="CM25" i="1" s="1"/>
  <c r="CN25" i="1" s="1"/>
  <c r="CO25" i="1" s="1"/>
  <c r="CP25" i="1" s="1"/>
  <c r="CQ25" i="1" s="1"/>
  <c r="CS25" i="1" s="1"/>
  <c r="CT25" i="1" s="1"/>
  <c r="CU25" i="1" s="1"/>
  <c r="CV25" i="1" s="1"/>
  <c r="CW25" i="1" s="1"/>
  <c r="CX25" i="1" s="1"/>
  <c r="CY25" i="1" s="1"/>
  <c r="CZ25" i="1" s="1"/>
  <c r="DA25" i="1" s="1"/>
  <c r="DB25" i="1" s="1"/>
  <c r="DC25" i="1" s="1"/>
  <c r="DD25" i="1" s="1"/>
  <c r="DF25" i="1" s="1"/>
  <c r="DG25" i="1" s="1"/>
  <c r="DH25" i="1" s="1"/>
  <c r="DI25" i="1" s="1"/>
  <c r="DJ25" i="1" s="1"/>
  <c r="DK25" i="1" s="1"/>
  <c r="DL25" i="1" s="1"/>
  <c r="DM25" i="1" s="1"/>
  <c r="DN25" i="1" s="1"/>
  <c r="DO25" i="1" s="1"/>
  <c r="DP25" i="1" s="1"/>
  <c r="DQ25" i="1" s="1"/>
  <c r="DS25" i="1" s="1"/>
  <c r="DT25" i="1" s="1"/>
  <c r="DU25" i="1" s="1"/>
  <c r="DV25" i="1" s="1"/>
  <c r="DW25" i="1" s="1"/>
  <c r="DX25" i="1" s="1"/>
  <c r="DY25" i="1" s="1"/>
  <c r="DZ25" i="1" s="1"/>
  <c r="EA25" i="1" s="1"/>
  <c r="EB25" i="1" s="1"/>
  <c r="EC25" i="1" s="1"/>
  <c r="ED25" i="1" s="1"/>
  <c r="M22" i="48"/>
  <c r="Q23" i="1"/>
  <c r="L20" i="48"/>
  <c r="M26" i="48"/>
  <c r="S29" i="1"/>
  <c r="T29" i="1" s="1"/>
  <c r="U29" i="1" s="1"/>
  <c r="V29" i="1" s="1"/>
  <c r="W29" i="1" s="1"/>
  <c r="X29" i="1" s="1"/>
  <c r="Y29" i="1" s="1"/>
  <c r="Z29" i="1" s="1"/>
  <c r="AA29" i="1" s="1"/>
  <c r="AB29" i="1" s="1"/>
  <c r="AC29" i="1" s="1"/>
  <c r="AD29" i="1" s="1"/>
  <c r="AF29" i="1" s="1"/>
  <c r="AG29" i="1" s="1"/>
  <c r="AH29" i="1" s="1"/>
  <c r="AI29" i="1" s="1"/>
  <c r="AJ29" i="1" s="1"/>
  <c r="AK29" i="1" s="1"/>
  <c r="AL29" i="1" s="1"/>
  <c r="AM29" i="1" s="1"/>
  <c r="AN29" i="1" s="1"/>
  <c r="AO29" i="1" s="1"/>
  <c r="AP29" i="1" s="1"/>
  <c r="AQ29" i="1" s="1"/>
  <c r="AS29" i="1" s="1"/>
  <c r="AT29" i="1" s="1"/>
  <c r="AU29" i="1" s="1"/>
  <c r="AV29" i="1" s="1"/>
  <c r="AW29" i="1" s="1"/>
  <c r="AX29" i="1" s="1"/>
  <c r="AY29" i="1" s="1"/>
  <c r="AZ29" i="1" s="1"/>
  <c r="BA29" i="1" s="1"/>
  <c r="BB29" i="1" s="1"/>
  <c r="BC29" i="1" s="1"/>
  <c r="BD29" i="1" s="1"/>
  <c r="BF29" i="1" s="1"/>
  <c r="BG29" i="1" s="1"/>
  <c r="BH29" i="1" s="1"/>
  <c r="BI29" i="1" s="1"/>
  <c r="BJ29" i="1" s="1"/>
  <c r="BK29" i="1" s="1"/>
  <c r="BL29" i="1" s="1"/>
  <c r="BM29" i="1" s="1"/>
  <c r="BN29" i="1" s="1"/>
  <c r="BO29" i="1" s="1"/>
  <c r="BP29" i="1" s="1"/>
  <c r="BQ29" i="1" s="1"/>
  <c r="BS29" i="1" s="1"/>
  <c r="BT29" i="1" s="1"/>
  <c r="BU29" i="1" s="1"/>
  <c r="BV29" i="1" s="1"/>
  <c r="BW29" i="1" s="1"/>
  <c r="BX29" i="1" s="1"/>
  <c r="BY29" i="1" s="1"/>
  <c r="BZ29" i="1" s="1"/>
  <c r="CA29" i="1" s="1"/>
  <c r="CB29" i="1" s="1"/>
  <c r="CC29" i="1" s="1"/>
  <c r="CD29" i="1" s="1"/>
  <c r="CF29" i="1" s="1"/>
  <c r="CG29" i="1" s="1"/>
  <c r="CH29" i="1" s="1"/>
  <c r="CI29" i="1" s="1"/>
  <c r="CJ29" i="1" s="1"/>
  <c r="CK29" i="1" s="1"/>
  <c r="CL29" i="1" s="1"/>
  <c r="CM29" i="1" s="1"/>
  <c r="CN29" i="1" s="1"/>
  <c r="CO29" i="1" s="1"/>
  <c r="CP29" i="1" s="1"/>
  <c r="CQ29" i="1" s="1"/>
  <c r="CS29" i="1" s="1"/>
  <c r="CT29" i="1" s="1"/>
  <c r="CU29" i="1" s="1"/>
  <c r="CV29" i="1" s="1"/>
  <c r="CW29" i="1" s="1"/>
  <c r="CX29" i="1" s="1"/>
  <c r="CY29" i="1" s="1"/>
  <c r="CZ29" i="1" s="1"/>
  <c r="DA29" i="1" s="1"/>
  <c r="DB29" i="1" s="1"/>
  <c r="DC29" i="1" s="1"/>
  <c r="DD29" i="1" s="1"/>
  <c r="DF29" i="1" s="1"/>
  <c r="DG29" i="1" s="1"/>
  <c r="DH29" i="1" s="1"/>
  <c r="DI29" i="1" s="1"/>
  <c r="DJ29" i="1" s="1"/>
  <c r="DK29" i="1" s="1"/>
  <c r="DL29" i="1" s="1"/>
  <c r="DM29" i="1" s="1"/>
  <c r="DN29" i="1" s="1"/>
  <c r="DO29" i="1" s="1"/>
  <c r="DP29" i="1" s="1"/>
  <c r="DQ29" i="1" s="1"/>
  <c r="DS29" i="1" s="1"/>
  <c r="DT29" i="1" s="1"/>
  <c r="DU29" i="1" s="1"/>
  <c r="DV29" i="1" s="1"/>
  <c r="DW29" i="1" s="1"/>
  <c r="DX29" i="1" s="1"/>
  <c r="DY29" i="1" s="1"/>
  <c r="DZ29" i="1" s="1"/>
  <c r="EA29" i="1" s="1"/>
  <c r="EB29" i="1" s="1"/>
  <c r="EC29" i="1" s="1"/>
  <c r="ED29" i="1" s="1"/>
  <c r="S31" i="1"/>
  <c r="T31" i="1" s="1"/>
  <c r="U31" i="1" s="1"/>
  <c r="V31" i="1" s="1"/>
  <c r="W31" i="1" s="1"/>
  <c r="X31" i="1" s="1"/>
  <c r="Y31" i="1" s="1"/>
  <c r="Z31" i="1" s="1"/>
  <c r="AA31" i="1" s="1"/>
  <c r="AB31" i="1" s="1"/>
  <c r="AC31" i="1" s="1"/>
  <c r="AD31" i="1" s="1"/>
  <c r="AF31" i="1" s="1"/>
  <c r="AG31" i="1" s="1"/>
  <c r="AH31" i="1" s="1"/>
  <c r="AI31" i="1" s="1"/>
  <c r="AJ31" i="1" s="1"/>
  <c r="AK31" i="1" s="1"/>
  <c r="AL31" i="1" s="1"/>
  <c r="AM31" i="1" s="1"/>
  <c r="AN31" i="1" s="1"/>
  <c r="AO31" i="1" s="1"/>
  <c r="AP31" i="1" s="1"/>
  <c r="AQ31" i="1" s="1"/>
  <c r="AS31" i="1" s="1"/>
  <c r="AT31" i="1" s="1"/>
  <c r="AU31" i="1" s="1"/>
  <c r="AV31" i="1" s="1"/>
  <c r="AW31" i="1" s="1"/>
  <c r="AX31" i="1" s="1"/>
  <c r="AY31" i="1" s="1"/>
  <c r="AZ31" i="1" s="1"/>
  <c r="BA31" i="1" s="1"/>
  <c r="BB31" i="1" s="1"/>
  <c r="BC31" i="1" s="1"/>
  <c r="BD31" i="1" s="1"/>
  <c r="BF31" i="1" s="1"/>
  <c r="BG31" i="1" s="1"/>
  <c r="BH31" i="1" s="1"/>
  <c r="BI31" i="1" s="1"/>
  <c r="BJ31" i="1" s="1"/>
  <c r="BK31" i="1" s="1"/>
  <c r="BL31" i="1" s="1"/>
  <c r="BM31" i="1" s="1"/>
  <c r="BN31" i="1" s="1"/>
  <c r="BO31" i="1" s="1"/>
  <c r="BP31" i="1" s="1"/>
  <c r="BQ31" i="1" s="1"/>
  <c r="BS31" i="1" s="1"/>
  <c r="BT31" i="1" s="1"/>
  <c r="BU31" i="1" s="1"/>
  <c r="BV31" i="1" s="1"/>
  <c r="BW31" i="1" s="1"/>
  <c r="BX31" i="1" s="1"/>
  <c r="BY31" i="1" s="1"/>
  <c r="BZ31" i="1" s="1"/>
  <c r="CA31" i="1" s="1"/>
  <c r="CB31" i="1" s="1"/>
  <c r="CC31" i="1" s="1"/>
  <c r="CD31" i="1" s="1"/>
  <c r="CF31" i="1" s="1"/>
  <c r="CG31" i="1" s="1"/>
  <c r="CH31" i="1" s="1"/>
  <c r="CI31" i="1" s="1"/>
  <c r="CJ31" i="1" s="1"/>
  <c r="CK31" i="1" s="1"/>
  <c r="CL31" i="1" s="1"/>
  <c r="CM31" i="1" s="1"/>
  <c r="CN31" i="1" s="1"/>
  <c r="CO31" i="1" s="1"/>
  <c r="CP31" i="1" s="1"/>
  <c r="CQ31" i="1" s="1"/>
  <c r="CS31" i="1" s="1"/>
  <c r="CT31" i="1" s="1"/>
  <c r="CU31" i="1" s="1"/>
  <c r="CV31" i="1" s="1"/>
  <c r="CW31" i="1" s="1"/>
  <c r="CX31" i="1" s="1"/>
  <c r="CY31" i="1" s="1"/>
  <c r="CZ31" i="1" s="1"/>
  <c r="DA31" i="1" s="1"/>
  <c r="DB31" i="1" s="1"/>
  <c r="DC31" i="1" s="1"/>
  <c r="DD31" i="1" s="1"/>
  <c r="DF31" i="1" s="1"/>
  <c r="DG31" i="1" s="1"/>
  <c r="DH31" i="1" s="1"/>
  <c r="DI31" i="1" s="1"/>
  <c r="DJ31" i="1" s="1"/>
  <c r="DK31" i="1" s="1"/>
  <c r="DL31" i="1" s="1"/>
  <c r="DM31" i="1" s="1"/>
  <c r="DN31" i="1" s="1"/>
  <c r="DO31" i="1" s="1"/>
  <c r="DP31" i="1" s="1"/>
  <c r="DQ31" i="1" s="1"/>
  <c r="DS31" i="1" s="1"/>
  <c r="DT31" i="1" s="1"/>
  <c r="DU31" i="1" s="1"/>
  <c r="DV31" i="1" s="1"/>
  <c r="DW31" i="1" s="1"/>
  <c r="DX31" i="1" s="1"/>
  <c r="DY31" i="1" s="1"/>
  <c r="DZ31" i="1" s="1"/>
  <c r="EA31" i="1" s="1"/>
  <c r="EB31" i="1" s="1"/>
  <c r="EC31" i="1" s="1"/>
  <c r="ED31" i="1" s="1"/>
  <c r="M28" i="48"/>
  <c r="M21" i="48"/>
  <c r="S24" i="1"/>
  <c r="T24" i="1" s="1"/>
  <c r="U24" i="1" s="1"/>
  <c r="V24" i="1" s="1"/>
  <c r="W24" i="1" s="1"/>
  <c r="X24" i="1" s="1"/>
  <c r="Y24" i="1" s="1"/>
  <c r="Z24" i="1" s="1"/>
  <c r="AA24" i="1" s="1"/>
  <c r="AB24" i="1" s="1"/>
  <c r="AC24" i="1" s="1"/>
  <c r="AD24" i="1" s="1"/>
  <c r="AF24" i="1" s="1"/>
  <c r="AG24" i="1" s="1"/>
  <c r="AH24" i="1" s="1"/>
  <c r="AI24" i="1" s="1"/>
  <c r="AJ24" i="1" s="1"/>
  <c r="AK24" i="1" s="1"/>
  <c r="AL24" i="1" s="1"/>
  <c r="AM24" i="1" s="1"/>
  <c r="AN24" i="1" s="1"/>
  <c r="AO24" i="1" s="1"/>
  <c r="AP24" i="1" s="1"/>
  <c r="AQ24" i="1" s="1"/>
  <c r="AS24" i="1" s="1"/>
  <c r="AT24" i="1" s="1"/>
  <c r="AU24" i="1" s="1"/>
  <c r="AV24" i="1" s="1"/>
  <c r="AW24" i="1" s="1"/>
  <c r="AX24" i="1" s="1"/>
  <c r="AY24" i="1" s="1"/>
  <c r="AZ24" i="1" s="1"/>
  <c r="BA24" i="1" s="1"/>
  <c r="BB24" i="1" s="1"/>
  <c r="BC24" i="1" s="1"/>
  <c r="BD24" i="1" s="1"/>
  <c r="BF24" i="1" s="1"/>
  <c r="BG24" i="1" s="1"/>
  <c r="BH24" i="1" s="1"/>
  <c r="BI24" i="1" s="1"/>
  <c r="BJ24" i="1" s="1"/>
  <c r="BK24" i="1" s="1"/>
  <c r="BL24" i="1" s="1"/>
  <c r="BM24" i="1" s="1"/>
  <c r="BN24" i="1" s="1"/>
  <c r="BO24" i="1" s="1"/>
  <c r="BP24" i="1" s="1"/>
  <c r="BQ24" i="1" s="1"/>
  <c r="BS24" i="1" s="1"/>
  <c r="BT24" i="1" s="1"/>
  <c r="BU24" i="1" s="1"/>
  <c r="BV24" i="1" s="1"/>
  <c r="BW24" i="1" s="1"/>
  <c r="BX24" i="1" s="1"/>
  <c r="BY24" i="1" s="1"/>
  <c r="BZ24" i="1" s="1"/>
  <c r="CA24" i="1" s="1"/>
  <c r="CB24" i="1" s="1"/>
  <c r="CC24" i="1" s="1"/>
  <c r="CD24" i="1" s="1"/>
  <c r="CF24" i="1" s="1"/>
  <c r="CG24" i="1" s="1"/>
  <c r="CH24" i="1" s="1"/>
  <c r="CI24" i="1" s="1"/>
  <c r="CJ24" i="1" s="1"/>
  <c r="CK24" i="1" s="1"/>
  <c r="CL24" i="1" s="1"/>
  <c r="CM24" i="1" s="1"/>
  <c r="CN24" i="1" s="1"/>
  <c r="CO24" i="1" s="1"/>
  <c r="CP24" i="1" s="1"/>
  <c r="CQ24" i="1" s="1"/>
  <c r="CS24" i="1" s="1"/>
  <c r="CT24" i="1" s="1"/>
  <c r="CU24" i="1" s="1"/>
  <c r="CV24" i="1" s="1"/>
  <c r="CW24" i="1" s="1"/>
  <c r="CX24" i="1" s="1"/>
  <c r="CY24" i="1" s="1"/>
  <c r="CZ24" i="1" s="1"/>
  <c r="DA24" i="1" s="1"/>
  <c r="DB24" i="1" s="1"/>
  <c r="DC24" i="1" s="1"/>
  <c r="DD24" i="1" s="1"/>
  <c r="DF24" i="1" s="1"/>
  <c r="DG24" i="1" s="1"/>
  <c r="DH24" i="1" s="1"/>
  <c r="DI24" i="1" s="1"/>
  <c r="DJ24" i="1" s="1"/>
  <c r="DK24" i="1" s="1"/>
  <c r="DL24" i="1" s="1"/>
  <c r="DM24" i="1" s="1"/>
  <c r="DN24" i="1" s="1"/>
  <c r="DO24" i="1" s="1"/>
  <c r="DP24" i="1" s="1"/>
  <c r="DQ24" i="1" s="1"/>
  <c r="DS24" i="1" s="1"/>
  <c r="DT24" i="1" s="1"/>
  <c r="DU24" i="1" s="1"/>
  <c r="DV24" i="1" s="1"/>
  <c r="DW24" i="1" s="1"/>
  <c r="DX24" i="1" s="1"/>
  <c r="DY24" i="1" s="1"/>
  <c r="DZ24" i="1" s="1"/>
  <c r="EA24" i="1" s="1"/>
  <c r="EB24" i="1" s="1"/>
  <c r="EC24" i="1" s="1"/>
  <c r="ED24" i="1" s="1"/>
  <c r="M23" i="48"/>
  <c r="S26" i="1"/>
  <c r="T26" i="1" s="1"/>
  <c r="U26" i="1" s="1"/>
  <c r="V26" i="1" s="1"/>
  <c r="W26" i="1" s="1"/>
  <c r="X26" i="1" s="1"/>
  <c r="Y26" i="1" s="1"/>
  <c r="Z26" i="1" s="1"/>
  <c r="AA26" i="1" s="1"/>
  <c r="AB26" i="1" s="1"/>
  <c r="AC26" i="1" s="1"/>
  <c r="AD26" i="1" s="1"/>
  <c r="AF26" i="1" s="1"/>
  <c r="AG26" i="1" s="1"/>
  <c r="AH26" i="1" s="1"/>
  <c r="AI26" i="1" s="1"/>
  <c r="AJ26" i="1" s="1"/>
  <c r="AK26" i="1" s="1"/>
  <c r="AL26" i="1" s="1"/>
  <c r="AM26" i="1" s="1"/>
  <c r="AN26" i="1" s="1"/>
  <c r="AO26" i="1" s="1"/>
  <c r="AP26" i="1" s="1"/>
  <c r="AQ26" i="1" s="1"/>
  <c r="AS26" i="1" s="1"/>
  <c r="AT26" i="1" s="1"/>
  <c r="AU26" i="1" s="1"/>
  <c r="AV26" i="1" s="1"/>
  <c r="AW26" i="1" s="1"/>
  <c r="AX26" i="1" s="1"/>
  <c r="AY26" i="1" s="1"/>
  <c r="AZ26" i="1" s="1"/>
  <c r="BA26" i="1" s="1"/>
  <c r="BB26" i="1" s="1"/>
  <c r="BC26" i="1" s="1"/>
  <c r="BD26" i="1" s="1"/>
  <c r="BF26" i="1" s="1"/>
  <c r="BG26" i="1" s="1"/>
  <c r="BH26" i="1" s="1"/>
  <c r="BI26" i="1" s="1"/>
  <c r="BJ26" i="1" s="1"/>
  <c r="BK26" i="1" s="1"/>
  <c r="BL26" i="1" s="1"/>
  <c r="BM26" i="1" s="1"/>
  <c r="BN26" i="1" s="1"/>
  <c r="BO26" i="1" s="1"/>
  <c r="BP26" i="1" s="1"/>
  <c r="BQ26" i="1" s="1"/>
  <c r="BS26" i="1" s="1"/>
  <c r="BT26" i="1" s="1"/>
  <c r="BU26" i="1" s="1"/>
  <c r="BV26" i="1" s="1"/>
  <c r="BW26" i="1" s="1"/>
  <c r="BX26" i="1" s="1"/>
  <c r="BY26" i="1" s="1"/>
  <c r="BZ26" i="1" s="1"/>
  <c r="CA26" i="1" s="1"/>
  <c r="CB26" i="1" s="1"/>
  <c r="CC26" i="1" s="1"/>
  <c r="CD26" i="1" s="1"/>
  <c r="CF26" i="1" s="1"/>
  <c r="CG26" i="1" s="1"/>
  <c r="CH26" i="1" s="1"/>
  <c r="CI26" i="1" s="1"/>
  <c r="CJ26" i="1" s="1"/>
  <c r="CK26" i="1" s="1"/>
  <c r="CL26" i="1" s="1"/>
  <c r="CM26" i="1" s="1"/>
  <c r="CN26" i="1" s="1"/>
  <c r="CO26" i="1" s="1"/>
  <c r="CP26" i="1" s="1"/>
  <c r="CQ26" i="1" s="1"/>
  <c r="CS26" i="1" s="1"/>
  <c r="CT26" i="1" s="1"/>
  <c r="CU26" i="1" s="1"/>
  <c r="CV26" i="1" s="1"/>
  <c r="CW26" i="1" s="1"/>
  <c r="CX26" i="1" s="1"/>
  <c r="CY26" i="1" s="1"/>
  <c r="CZ26" i="1" s="1"/>
  <c r="DA26" i="1" s="1"/>
  <c r="DB26" i="1" s="1"/>
  <c r="DC26" i="1" s="1"/>
  <c r="DD26" i="1" s="1"/>
  <c r="DF26" i="1" s="1"/>
  <c r="DG26" i="1" s="1"/>
  <c r="DH26" i="1" s="1"/>
  <c r="DI26" i="1" s="1"/>
  <c r="DJ26" i="1" s="1"/>
  <c r="DK26" i="1" s="1"/>
  <c r="DL26" i="1" s="1"/>
  <c r="DM26" i="1" s="1"/>
  <c r="DN26" i="1" s="1"/>
  <c r="DO26" i="1" s="1"/>
  <c r="DP26" i="1" s="1"/>
  <c r="DQ26" i="1" s="1"/>
  <c r="DS26" i="1" s="1"/>
  <c r="DT26" i="1" s="1"/>
  <c r="DU26" i="1" s="1"/>
  <c r="DV26" i="1" s="1"/>
  <c r="DW26" i="1" s="1"/>
  <c r="DX26" i="1" s="1"/>
  <c r="DY26" i="1" s="1"/>
  <c r="DZ26" i="1" s="1"/>
  <c r="EA26" i="1" s="1"/>
  <c r="EB26" i="1" s="1"/>
  <c r="EC26" i="1" s="1"/>
  <c r="ED26" i="1" s="1"/>
  <c r="Q22" i="1"/>
  <c r="L19" i="48"/>
  <c r="S6" i="1"/>
  <c r="Q63" i="1"/>
  <c r="S20" i="1" l="1"/>
  <c r="T20" i="1" s="1"/>
  <c r="U20" i="1" s="1"/>
  <c r="V20" i="1" s="1"/>
  <c r="W20" i="1" s="1"/>
  <c r="X20" i="1" s="1"/>
  <c r="Y20" i="1" s="1"/>
  <c r="Z20" i="1" s="1"/>
  <c r="AA20" i="1" s="1"/>
  <c r="AB20" i="1" s="1"/>
  <c r="AC20" i="1" s="1"/>
  <c r="AD20" i="1" s="1"/>
  <c r="AF20" i="1" s="1"/>
  <c r="AG20" i="1" s="1"/>
  <c r="AH20" i="1" s="1"/>
  <c r="AI20" i="1" s="1"/>
  <c r="AJ20" i="1" s="1"/>
  <c r="AK20" i="1" s="1"/>
  <c r="AL20" i="1" s="1"/>
  <c r="AM20" i="1" s="1"/>
  <c r="AN20" i="1" s="1"/>
  <c r="AO20" i="1" s="1"/>
  <c r="AP20" i="1" s="1"/>
  <c r="AQ20" i="1" s="1"/>
  <c r="AS20" i="1" s="1"/>
  <c r="AT20" i="1" s="1"/>
  <c r="AU20" i="1" s="1"/>
  <c r="AV20" i="1" s="1"/>
  <c r="AW20" i="1" s="1"/>
  <c r="AX20" i="1" s="1"/>
  <c r="AY20" i="1" s="1"/>
  <c r="AZ20" i="1" s="1"/>
  <c r="BA20" i="1" s="1"/>
  <c r="BB20" i="1" s="1"/>
  <c r="BC20" i="1" s="1"/>
  <c r="BD20" i="1" s="1"/>
  <c r="BF20" i="1" s="1"/>
  <c r="BG20" i="1" s="1"/>
  <c r="BH20" i="1" s="1"/>
  <c r="BI20" i="1" s="1"/>
  <c r="BJ20" i="1" s="1"/>
  <c r="BK20" i="1" s="1"/>
  <c r="BL20" i="1" s="1"/>
  <c r="BM20" i="1" s="1"/>
  <c r="BN20" i="1" s="1"/>
  <c r="BO20" i="1" s="1"/>
  <c r="BP20" i="1" s="1"/>
  <c r="BQ20" i="1" s="1"/>
  <c r="BS20" i="1" s="1"/>
  <c r="BT20" i="1" s="1"/>
  <c r="BU20" i="1" s="1"/>
  <c r="BV20" i="1" s="1"/>
  <c r="BW20" i="1" s="1"/>
  <c r="BX20" i="1" s="1"/>
  <c r="BY20" i="1" s="1"/>
  <c r="BZ20" i="1" s="1"/>
  <c r="CA20" i="1" s="1"/>
  <c r="CB20" i="1" s="1"/>
  <c r="CC20" i="1" s="1"/>
  <c r="CD20" i="1" s="1"/>
  <c r="CF20" i="1" s="1"/>
  <c r="CG20" i="1" s="1"/>
  <c r="CH20" i="1" s="1"/>
  <c r="CI20" i="1" s="1"/>
  <c r="CJ20" i="1" s="1"/>
  <c r="CK20" i="1" s="1"/>
  <c r="CL20" i="1" s="1"/>
  <c r="CM20" i="1" s="1"/>
  <c r="CN20" i="1" s="1"/>
  <c r="CO20" i="1" s="1"/>
  <c r="CP20" i="1" s="1"/>
  <c r="CQ20" i="1" s="1"/>
  <c r="CS20" i="1" s="1"/>
  <c r="CT20" i="1" s="1"/>
  <c r="CU20" i="1" s="1"/>
  <c r="CV20" i="1" s="1"/>
  <c r="CW20" i="1" s="1"/>
  <c r="CX20" i="1" s="1"/>
  <c r="CY20" i="1" s="1"/>
  <c r="CZ20" i="1" s="1"/>
  <c r="DA20" i="1" s="1"/>
  <c r="DB20" i="1" s="1"/>
  <c r="DC20" i="1" s="1"/>
  <c r="DD20" i="1" s="1"/>
  <c r="DF20" i="1" s="1"/>
  <c r="DG20" i="1" s="1"/>
  <c r="DH20" i="1" s="1"/>
  <c r="DI20" i="1" s="1"/>
  <c r="DJ20" i="1" s="1"/>
  <c r="DK20" i="1" s="1"/>
  <c r="DL20" i="1" s="1"/>
  <c r="DM20" i="1" s="1"/>
  <c r="DN20" i="1" s="1"/>
  <c r="DO20" i="1" s="1"/>
  <c r="DP20" i="1" s="1"/>
  <c r="DQ20" i="1" s="1"/>
  <c r="DS20" i="1" s="1"/>
  <c r="DT20" i="1" s="1"/>
  <c r="DU20" i="1" s="1"/>
  <c r="DV20" i="1" s="1"/>
  <c r="DW20" i="1" s="1"/>
  <c r="DX20" i="1" s="1"/>
  <c r="DY20" i="1" s="1"/>
  <c r="DZ20" i="1" s="1"/>
  <c r="EA20" i="1" s="1"/>
  <c r="EB20" i="1" s="1"/>
  <c r="EC20" i="1" s="1"/>
  <c r="ED20" i="1" s="1"/>
  <c r="M17" i="48"/>
  <c r="S23" i="1"/>
  <c r="T23" i="1" s="1"/>
  <c r="U23" i="1" s="1"/>
  <c r="V23" i="1" s="1"/>
  <c r="W23" i="1" s="1"/>
  <c r="X23" i="1" s="1"/>
  <c r="Y23" i="1" s="1"/>
  <c r="Z23" i="1" s="1"/>
  <c r="AA23" i="1" s="1"/>
  <c r="AB23" i="1" s="1"/>
  <c r="AC23" i="1" s="1"/>
  <c r="AD23" i="1" s="1"/>
  <c r="AF23" i="1" s="1"/>
  <c r="AG23" i="1" s="1"/>
  <c r="AH23" i="1" s="1"/>
  <c r="AI23" i="1" s="1"/>
  <c r="AJ23" i="1" s="1"/>
  <c r="AK23" i="1" s="1"/>
  <c r="AL23" i="1" s="1"/>
  <c r="AM23" i="1" s="1"/>
  <c r="AN23" i="1" s="1"/>
  <c r="AO23" i="1" s="1"/>
  <c r="AP23" i="1" s="1"/>
  <c r="AQ23" i="1" s="1"/>
  <c r="AS23" i="1" s="1"/>
  <c r="AT23" i="1" s="1"/>
  <c r="AU23" i="1" s="1"/>
  <c r="AV23" i="1" s="1"/>
  <c r="AW23" i="1" s="1"/>
  <c r="AX23" i="1" s="1"/>
  <c r="AY23" i="1" s="1"/>
  <c r="AZ23" i="1" s="1"/>
  <c r="BA23" i="1" s="1"/>
  <c r="BB23" i="1" s="1"/>
  <c r="BC23" i="1" s="1"/>
  <c r="BD23" i="1" s="1"/>
  <c r="BF23" i="1" s="1"/>
  <c r="BG23" i="1" s="1"/>
  <c r="BH23" i="1" s="1"/>
  <c r="BI23" i="1" s="1"/>
  <c r="BJ23" i="1" s="1"/>
  <c r="BK23" i="1" s="1"/>
  <c r="BL23" i="1" s="1"/>
  <c r="BM23" i="1" s="1"/>
  <c r="BN23" i="1" s="1"/>
  <c r="BO23" i="1" s="1"/>
  <c r="BP23" i="1" s="1"/>
  <c r="BQ23" i="1" s="1"/>
  <c r="BS23" i="1" s="1"/>
  <c r="BT23" i="1" s="1"/>
  <c r="BU23" i="1" s="1"/>
  <c r="BV23" i="1" s="1"/>
  <c r="BW23" i="1" s="1"/>
  <c r="BX23" i="1" s="1"/>
  <c r="BY23" i="1" s="1"/>
  <c r="BZ23" i="1" s="1"/>
  <c r="CA23" i="1" s="1"/>
  <c r="CB23" i="1" s="1"/>
  <c r="CC23" i="1" s="1"/>
  <c r="CD23" i="1" s="1"/>
  <c r="CF23" i="1" s="1"/>
  <c r="CG23" i="1" s="1"/>
  <c r="CH23" i="1" s="1"/>
  <c r="CI23" i="1" s="1"/>
  <c r="CJ23" i="1" s="1"/>
  <c r="CK23" i="1" s="1"/>
  <c r="CL23" i="1" s="1"/>
  <c r="CM23" i="1" s="1"/>
  <c r="CN23" i="1" s="1"/>
  <c r="CO23" i="1" s="1"/>
  <c r="CP23" i="1" s="1"/>
  <c r="CQ23" i="1" s="1"/>
  <c r="CS23" i="1" s="1"/>
  <c r="CT23" i="1" s="1"/>
  <c r="CU23" i="1" s="1"/>
  <c r="CV23" i="1" s="1"/>
  <c r="CW23" i="1" s="1"/>
  <c r="CX23" i="1" s="1"/>
  <c r="CY23" i="1" s="1"/>
  <c r="CZ23" i="1" s="1"/>
  <c r="DA23" i="1" s="1"/>
  <c r="DB23" i="1" s="1"/>
  <c r="DC23" i="1" s="1"/>
  <c r="DD23" i="1" s="1"/>
  <c r="DF23" i="1" s="1"/>
  <c r="DG23" i="1" s="1"/>
  <c r="DH23" i="1" s="1"/>
  <c r="DI23" i="1" s="1"/>
  <c r="DJ23" i="1" s="1"/>
  <c r="DK23" i="1" s="1"/>
  <c r="DL23" i="1" s="1"/>
  <c r="DM23" i="1" s="1"/>
  <c r="DN23" i="1" s="1"/>
  <c r="DO23" i="1" s="1"/>
  <c r="DP23" i="1" s="1"/>
  <c r="DQ23" i="1" s="1"/>
  <c r="DS23" i="1" s="1"/>
  <c r="DT23" i="1" s="1"/>
  <c r="DU23" i="1" s="1"/>
  <c r="DV23" i="1" s="1"/>
  <c r="DW23" i="1" s="1"/>
  <c r="DX23" i="1" s="1"/>
  <c r="DY23" i="1" s="1"/>
  <c r="DZ23" i="1" s="1"/>
  <c r="EA23" i="1" s="1"/>
  <c r="EB23" i="1" s="1"/>
  <c r="EC23" i="1" s="1"/>
  <c r="ED23" i="1" s="1"/>
  <c r="M20" i="48"/>
  <c r="S7" i="1"/>
  <c r="T7" i="1" s="1"/>
  <c r="U7" i="1" s="1"/>
  <c r="V7" i="1" s="1"/>
  <c r="W7" i="1" s="1"/>
  <c r="X7" i="1" s="1"/>
  <c r="Y7" i="1" s="1"/>
  <c r="Z7" i="1" s="1"/>
  <c r="AA7" i="1" s="1"/>
  <c r="AB7" i="1" s="1"/>
  <c r="AC7" i="1" s="1"/>
  <c r="AD7" i="1" s="1"/>
  <c r="AF7" i="1" s="1"/>
  <c r="AG7" i="1" s="1"/>
  <c r="AH7" i="1" s="1"/>
  <c r="AI7" i="1" s="1"/>
  <c r="AJ7" i="1" s="1"/>
  <c r="AK7" i="1" s="1"/>
  <c r="AL7" i="1" s="1"/>
  <c r="AM7" i="1" s="1"/>
  <c r="AN7" i="1" s="1"/>
  <c r="AO7" i="1" s="1"/>
  <c r="AP7" i="1" s="1"/>
  <c r="AQ7" i="1" s="1"/>
  <c r="AS7" i="1" s="1"/>
  <c r="AT7" i="1" s="1"/>
  <c r="AU7" i="1" s="1"/>
  <c r="AV7" i="1" s="1"/>
  <c r="AW7" i="1" s="1"/>
  <c r="AX7" i="1" s="1"/>
  <c r="AY7" i="1" s="1"/>
  <c r="AZ7" i="1" s="1"/>
  <c r="BA7" i="1" s="1"/>
  <c r="BB7" i="1" s="1"/>
  <c r="BC7" i="1" s="1"/>
  <c r="BD7" i="1" s="1"/>
  <c r="BF7" i="1" s="1"/>
  <c r="BG7" i="1" s="1"/>
  <c r="BH7" i="1" s="1"/>
  <c r="BI7" i="1" s="1"/>
  <c r="BJ7" i="1" s="1"/>
  <c r="BK7" i="1" s="1"/>
  <c r="BL7" i="1" s="1"/>
  <c r="BM7" i="1" s="1"/>
  <c r="BN7" i="1" s="1"/>
  <c r="BO7" i="1" s="1"/>
  <c r="BP7" i="1" s="1"/>
  <c r="BQ7" i="1" s="1"/>
  <c r="BS7" i="1" s="1"/>
  <c r="BT7" i="1" s="1"/>
  <c r="BU7" i="1" s="1"/>
  <c r="BV7" i="1" s="1"/>
  <c r="BW7" i="1" s="1"/>
  <c r="BX7" i="1" s="1"/>
  <c r="BY7" i="1" s="1"/>
  <c r="BZ7" i="1" s="1"/>
  <c r="CA7" i="1" s="1"/>
  <c r="CB7" i="1" s="1"/>
  <c r="CC7" i="1" s="1"/>
  <c r="CD7" i="1" s="1"/>
  <c r="CF7" i="1" s="1"/>
  <c r="CG7" i="1" s="1"/>
  <c r="CH7" i="1" s="1"/>
  <c r="CI7" i="1" s="1"/>
  <c r="CJ7" i="1" s="1"/>
  <c r="CK7" i="1" s="1"/>
  <c r="CL7" i="1" s="1"/>
  <c r="CM7" i="1" s="1"/>
  <c r="CN7" i="1" s="1"/>
  <c r="CO7" i="1" s="1"/>
  <c r="CP7" i="1" s="1"/>
  <c r="CQ7" i="1" s="1"/>
  <c r="CS7" i="1" s="1"/>
  <c r="CT7" i="1" s="1"/>
  <c r="CU7" i="1" s="1"/>
  <c r="CV7" i="1" s="1"/>
  <c r="CW7" i="1" s="1"/>
  <c r="CX7" i="1" s="1"/>
  <c r="CY7" i="1" s="1"/>
  <c r="CZ7" i="1" s="1"/>
  <c r="DA7" i="1" s="1"/>
  <c r="DB7" i="1" s="1"/>
  <c r="DC7" i="1" s="1"/>
  <c r="DD7" i="1" s="1"/>
  <c r="DF7" i="1" s="1"/>
  <c r="DG7" i="1" s="1"/>
  <c r="DH7" i="1" s="1"/>
  <c r="DI7" i="1" s="1"/>
  <c r="DJ7" i="1" s="1"/>
  <c r="DK7" i="1" s="1"/>
  <c r="DL7" i="1" s="1"/>
  <c r="DM7" i="1" s="1"/>
  <c r="DN7" i="1" s="1"/>
  <c r="DO7" i="1" s="1"/>
  <c r="DP7" i="1" s="1"/>
  <c r="DQ7" i="1" s="1"/>
  <c r="DS7" i="1" s="1"/>
  <c r="DT7" i="1" s="1"/>
  <c r="DU7" i="1" s="1"/>
  <c r="DV7" i="1" s="1"/>
  <c r="DW7" i="1" s="1"/>
  <c r="DX7" i="1" s="1"/>
  <c r="DY7" i="1" s="1"/>
  <c r="DZ7" i="1" s="1"/>
  <c r="EA7" i="1" s="1"/>
  <c r="EB7" i="1" s="1"/>
  <c r="EC7" i="1" s="1"/>
  <c r="ED7" i="1" s="1"/>
  <c r="M4" i="48"/>
  <c r="S22" i="1"/>
  <c r="T22" i="1" s="1"/>
  <c r="U22" i="1" s="1"/>
  <c r="V22" i="1" s="1"/>
  <c r="W22" i="1" s="1"/>
  <c r="X22" i="1" s="1"/>
  <c r="Y22" i="1" s="1"/>
  <c r="Z22" i="1" s="1"/>
  <c r="AA22" i="1" s="1"/>
  <c r="AB22" i="1" s="1"/>
  <c r="AC22" i="1" s="1"/>
  <c r="AD22" i="1" s="1"/>
  <c r="AF22" i="1" s="1"/>
  <c r="AG22" i="1" s="1"/>
  <c r="AH22" i="1" s="1"/>
  <c r="AI22" i="1" s="1"/>
  <c r="AJ22" i="1" s="1"/>
  <c r="AK22" i="1" s="1"/>
  <c r="AL22" i="1" s="1"/>
  <c r="AM22" i="1" s="1"/>
  <c r="AN22" i="1" s="1"/>
  <c r="AO22" i="1" s="1"/>
  <c r="AP22" i="1" s="1"/>
  <c r="AQ22" i="1" s="1"/>
  <c r="AS22" i="1" s="1"/>
  <c r="AT22" i="1" s="1"/>
  <c r="AU22" i="1" s="1"/>
  <c r="AV22" i="1" s="1"/>
  <c r="AW22" i="1" s="1"/>
  <c r="AX22" i="1" s="1"/>
  <c r="AY22" i="1" s="1"/>
  <c r="AZ22" i="1" s="1"/>
  <c r="BA22" i="1" s="1"/>
  <c r="BB22" i="1" s="1"/>
  <c r="BC22" i="1" s="1"/>
  <c r="BD22" i="1" s="1"/>
  <c r="BF22" i="1" s="1"/>
  <c r="BG22" i="1" s="1"/>
  <c r="BH22" i="1" s="1"/>
  <c r="BI22" i="1" s="1"/>
  <c r="BJ22" i="1" s="1"/>
  <c r="BK22" i="1" s="1"/>
  <c r="BL22" i="1" s="1"/>
  <c r="BM22" i="1" s="1"/>
  <c r="BN22" i="1" s="1"/>
  <c r="BO22" i="1" s="1"/>
  <c r="BP22" i="1" s="1"/>
  <c r="BQ22" i="1" s="1"/>
  <c r="BS22" i="1" s="1"/>
  <c r="BT22" i="1" s="1"/>
  <c r="BU22" i="1" s="1"/>
  <c r="BV22" i="1" s="1"/>
  <c r="BW22" i="1" s="1"/>
  <c r="BX22" i="1" s="1"/>
  <c r="BY22" i="1" s="1"/>
  <c r="BZ22" i="1" s="1"/>
  <c r="CA22" i="1" s="1"/>
  <c r="CB22" i="1" s="1"/>
  <c r="CC22" i="1" s="1"/>
  <c r="CD22" i="1" s="1"/>
  <c r="CF22" i="1" s="1"/>
  <c r="CG22" i="1" s="1"/>
  <c r="CH22" i="1" s="1"/>
  <c r="CI22" i="1" s="1"/>
  <c r="CJ22" i="1" s="1"/>
  <c r="CK22" i="1" s="1"/>
  <c r="CL22" i="1" s="1"/>
  <c r="CM22" i="1" s="1"/>
  <c r="CN22" i="1" s="1"/>
  <c r="CO22" i="1" s="1"/>
  <c r="CP22" i="1" s="1"/>
  <c r="CQ22" i="1" s="1"/>
  <c r="CS22" i="1" s="1"/>
  <c r="CT22" i="1" s="1"/>
  <c r="CU22" i="1" s="1"/>
  <c r="CV22" i="1" s="1"/>
  <c r="CW22" i="1" s="1"/>
  <c r="CX22" i="1" s="1"/>
  <c r="CY22" i="1" s="1"/>
  <c r="CZ22" i="1" s="1"/>
  <c r="DA22" i="1" s="1"/>
  <c r="DB22" i="1" s="1"/>
  <c r="DC22" i="1" s="1"/>
  <c r="DD22" i="1" s="1"/>
  <c r="DF22" i="1" s="1"/>
  <c r="DG22" i="1" s="1"/>
  <c r="DH22" i="1" s="1"/>
  <c r="DI22" i="1" s="1"/>
  <c r="DJ22" i="1" s="1"/>
  <c r="DK22" i="1" s="1"/>
  <c r="DL22" i="1" s="1"/>
  <c r="DM22" i="1" s="1"/>
  <c r="DN22" i="1" s="1"/>
  <c r="DO22" i="1" s="1"/>
  <c r="DP22" i="1" s="1"/>
  <c r="DQ22" i="1" s="1"/>
  <c r="DS22" i="1" s="1"/>
  <c r="DT22" i="1" s="1"/>
  <c r="DU22" i="1" s="1"/>
  <c r="DV22" i="1" s="1"/>
  <c r="DW22" i="1" s="1"/>
  <c r="DX22" i="1" s="1"/>
  <c r="DY22" i="1" s="1"/>
  <c r="DZ22" i="1" s="1"/>
  <c r="EA22" i="1" s="1"/>
  <c r="EB22" i="1" s="1"/>
  <c r="EC22" i="1" s="1"/>
  <c r="ED22" i="1" s="1"/>
  <c r="M19" i="48"/>
  <c r="T6" i="1"/>
  <c r="U6" i="1" s="1"/>
  <c r="V6" i="1" s="1"/>
  <c r="W6" i="1" s="1"/>
  <c r="X6" i="1" s="1"/>
  <c r="Y6" i="1" s="1"/>
  <c r="Z6" i="1" s="1"/>
  <c r="AA6" i="1" s="1"/>
  <c r="AB6" i="1" s="1"/>
  <c r="AC6" i="1" s="1"/>
  <c r="AD6" i="1" s="1"/>
  <c r="R63" i="1"/>
  <c r="AF6" i="1" l="1"/>
  <c r="AG6" i="1" s="1"/>
  <c r="AH6" i="1" s="1"/>
  <c r="AI6" i="1" s="1"/>
  <c r="AJ6" i="1" s="1"/>
  <c r="AK6" i="1" s="1"/>
  <c r="AL6" i="1" s="1"/>
  <c r="AM6" i="1" s="1"/>
  <c r="AN6" i="1" s="1"/>
  <c r="AO6" i="1" s="1"/>
  <c r="AP6" i="1" s="1"/>
  <c r="AQ6" i="1" s="1"/>
  <c r="AS6" i="1" s="1"/>
  <c r="AT6" i="1" s="1"/>
  <c r="AU6" i="1" s="1"/>
  <c r="AV6" i="1" s="1"/>
  <c r="AW6" i="1" s="1"/>
  <c r="AX6" i="1" s="1"/>
  <c r="AY6" i="1" s="1"/>
  <c r="AZ6" i="1" s="1"/>
  <c r="BA6" i="1" s="1"/>
  <c r="BB6" i="1" s="1"/>
  <c r="BC6" i="1" s="1"/>
  <c r="BD6" i="1" s="1"/>
  <c r="BF6" i="1" s="1"/>
  <c r="BG6" i="1" s="1"/>
  <c r="BH6" i="1" s="1"/>
  <c r="BI6" i="1" s="1"/>
  <c r="BJ6" i="1" s="1"/>
  <c r="BK6" i="1" s="1"/>
  <c r="BL6" i="1" s="1"/>
  <c r="BM6" i="1" s="1"/>
  <c r="BN6" i="1" s="1"/>
  <c r="BO6" i="1" s="1"/>
  <c r="BP6" i="1" s="1"/>
  <c r="BQ6" i="1" s="1"/>
  <c r="BS6" i="1" s="1"/>
  <c r="BT6" i="1" s="1"/>
  <c r="BU6" i="1" s="1"/>
  <c r="BV6" i="1" s="1"/>
  <c r="BW6" i="1" s="1"/>
  <c r="BX6" i="1" s="1"/>
  <c r="BY6" i="1" s="1"/>
  <c r="BZ6" i="1" s="1"/>
  <c r="CA6" i="1" s="1"/>
  <c r="CB6" i="1" s="1"/>
  <c r="CC6" i="1" s="1"/>
  <c r="CD6" i="1" s="1"/>
  <c r="CF6" i="1" s="1"/>
  <c r="CG6" i="1" s="1"/>
  <c r="CH6" i="1" s="1"/>
  <c r="CI6" i="1" s="1"/>
  <c r="CJ6" i="1" s="1"/>
  <c r="CK6" i="1" s="1"/>
  <c r="CL6" i="1" s="1"/>
  <c r="CM6" i="1" s="1"/>
  <c r="CN6" i="1" s="1"/>
  <c r="CO6" i="1" s="1"/>
  <c r="CP6" i="1" s="1"/>
  <c r="CQ6" i="1" s="1"/>
  <c r="CS6" i="1" s="1"/>
  <c r="CT6" i="1" s="1"/>
  <c r="CU6" i="1" s="1"/>
  <c r="CV6" i="1" s="1"/>
  <c r="CW6" i="1" s="1"/>
  <c r="CX6" i="1" s="1"/>
  <c r="CY6" i="1" s="1"/>
  <c r="CZ6" i="1" s="1"/>
  <c r="DA6" i="1" s="1"/>
  <c r="DB6" i="1" s="1"/>
  <c r="DC6" i="1" s="1"/>
  <c r="DD6" i="1" s="1"/>
  <c r="DF6" i="1" s="1"/>
  <c r="DG6" i="1" s="1"/>
  <c r="DH6" i="1" s="1"/>
  <c r="DI6" i="1" s="1"/>
  <c r="DJ6" i="1" s="1"/>
  <c r="DK6" i="1" s="1"/>
  <c r="DL6" i="1" s="1"/>
  <c r="DM6" i="1" s="1"/>
  <c r="DN6" i="1" s="1"/>
  <c r="DO6" i="1" s="1"/>
  <c r="DP6" i="1" s="1"/>
  <c r="DQ6" i="1" s="1"/>
  <c r="DS6" i="1" s="1"/>
  <c r="DT6" i="1" s="1"/>
  <c r="DU6" i="1" s="1"/>
  <c r="DV6" i="1" s="1"/>
  <c r="DW6" i="1" s="1"/>
  <c r="DX6" i="1" s="1"/>
  <c r="DY6" i="1" s="1"/>
  <c r="DZ6" i="1" s="1"/>
  <c r="EA6" i="1" s="1"/>
  <c r="EB6" i="1" s="1"/>
  <c r="EC6" i="1" s="1"/>
  <c r="ED6" i="1" s="1"/>
  <c r="AE6" i="1"/>
  <c r="E6" i="1"/>
  <c r="E7" i="1"/>
  <c r="E8" i="1"/>
  <c r="E12" i="1"/>
  <c r="E13" i="1"/>
  <c r="E14" i="1"/>
  <c r="E15" i="1"/>
  <c r="E19" i="1"/>
  <c r="E20" i="1"/>
  <c r="E21" i="1"/>
  <c r="E22" i="1"/>
  <c r="E23" i="1"/>
  <c r="E24" i="1"/>
  <c r="E25" i="1"/>
  <c r="E26" i="1"/>
  <c r="E27" i="1"/>
  <c r="E28" i="1"/>
  <c r="E29" i="1"/>
  <c r="E30" i="1"/>
  <c r="E31" i="1"/>
  <c r="C4" i="24"/>
  <c r="R16" i="25"/>
  <c r="V12" i="25" s="1"/>
  <c r="V20" i="25" l="1"/>
  <c r="V21" i="25"/>
  <c r="D10" i="38" s="1"/>
  <c r="D11" i="38" l="1"/>
  <c r="L5" i="24" l="1"/>
  <c r="I5" i="24" l="1"/>
  <c r="I4" i="24"/>
  <c r="I9" i="16" l="1"/>
  <c r="F11" i="1"/>
  <c r="F15" i="1" l="1"/>
  <c r="B12" i="48" s="1"/>
  <c r="B8" i="48"/>
  <c r="V14" i="3"/>
  <c r="D10" i="24" s="1"/>
  <c r="C10" i="24" s="1"/>
  <c r="B1" i="25" l="1"/>
  <c r="B1" i="17" l="1"/>
  <c r="F42" i="3" l="1"/>
  <c r="G41" i="3"/>
  <c r="R12" i="25"/>
  <c r="D14" i="38" s="1"/>
  <c r="O4" i="25"/>
  <c r="R6" i="25"/>
  <c r="F6" i="38" l="1"/>
  <c r="G6" i="38" s="1"/>
  <c r="R9" i="25"/>
  <c r="R8" i="25"/>
  <c r="R7" i="25"/>
  <c r="J11" i="16"/>
  <c r="U33" i="25" l="1"/>
  <c r="Q27" i="25"/>
  <c r="H6" i="38"/>
  <c r="R11" i="25"/>
  <c r="J9" i="16"/>
  <c r="E8" i="36" l="1"/>
  <c r="E10" i="36" s="1"/>
  <c r="C17" i="36" s="1"/>
  <c r="C20" i="36" s="1"/>
  <c r="D13" i="38"/>
  <c r="C6" i="24"/>
  <c r="C27" i="36" l="1"/>
  <c r="C23" i="36"/>
  <c r="C33" i="36"/>
  <c r="C21" i="36"/>
  <c r="C22" i="36"/>
  <c r="C24" i="36"/>
  <c r="C28" i="36"/>
  <c r="C31" i="36"/>
  <c r="C36" i="36"/>
  <c r="C26" i="36"/>
  <c r="C25" i="36"/>
  <c r="C29" i="36"/>
  <c r="C32" i="36"/>
  <c r="C34" i="36"/>
  <c r="C19" i="36"/>
  <c r="C35" i="36"/>
  <c r="C30" i="36"/>
  <c r="F63" i="1"/>
  <c r="E32" i="17" l="1"/>
  <c r="Q28" i="25"/>
  <c r="E39" i="17" s="1"/>
  <c r="F28" i="17" s="1"/>
  <c r="U36" i="25"/>
  <c r="U39" i="25" l="1"/>
  <c r="V35" i="25" s="1"/>
  <c r="Q29" i="25"/>
  <c r="Q39" i="25" s="1"/>
  <c r="C27" i="25"/>
  <c r="V13" i="25" l="1"/>
  <c r="V38" i="25"/>
  <c r="AA4" i="25"/>
  <c r="V39" i="25"/>
  <c r="V37" i="25"/>
  <c r="R28" i="25"/>
  <c r="H14" i="24"/>
  <c r="L4" i="24" l="1"/>
  <c r="F43" i="3"/>
  <c r="F44" i="3" s="1"/>
  <c r="C5" i="24"/>
  <c r="C14" i="24" s="1"/>
  <c r="R13" i="25"/>
  <c r="F46" i="3" l="1"/>
  <c r="K24" i="24"/>
  <c r="K15" i="24"/>
  <c r="DW52" i="1"/>
  <c r="DW53" i="1" s="1"/>
  <c r="DN52" i="1"/>
  <c r="DN53" i="1" s="1"/>
  <c r="DF52" i="1"/>
  <c r="CW52" i="1"/>
  <c r="CW53" i="1" s="1"/>
  <c r="CN52" i="1"/>
  <c r="CN53" i="1" s="1"/>
  <c r="CF52" i="1"/>
  <c r="BW52" i="1"/>
  <c r="BW53" i="1" s="1"/>
  <c r="BA52" i="1"/>
  <c r="BA53" i="1" s="1"/>
  <c r="AS52" i="1"/>
  <c r="AI52" i="1"/>
  <c r="AI53" i="1" s="1"/>
  <c r="Z52" i="1"/>
  <c r="Z53" i="1" s="1"/>
  <c r="G52" i="1"/>
  <c r="G53" i="1" s="1"/>
  <c r="O52" i="1"/>
  <c r="O53" i="1" s="1"/>
  <c r="BM52" i="1"/>
  <c r="EB52" i="1"/>
  <c r="EB53" i="1" s="1"/>
  <c r="DK52" i="1"/>
  <c r="DK53" i="1" s="1"/>
  <c r="DB52" i="1"/>
  <c r="DB53" i="1" s="1"/>
  <c r="BT52" i="1"/>
  <c r="BT53" i="1" s="1"/>
  <c r="J52" i="1"/>
  <c r="J53" i="1" s="1"/>
  <c r="CS52" i="1"/>
  <c r="AW52" i="1"/>
  <c r="AW53" i="1" s="1"/>
  <c r="K52" i="1"/>
  <c r="K53" i="1" s="1"/>
  <c r="DQ52" i="1"/>
  <c r="DQ53" i="1" s="1"/>
  <c r="CQ52" i="1"/>
  <c r="CQ53" i="1" s="1"/>
  <c r="U52" i="1"/>
  <c r="U53" i="1" s="1"/>
  <c r="BH52" i="1"/>
  <c r="DY52" i="1"/>
  <c r="DY53" i="1" s="1"/>
  <c r="CY52" i="1"/>
  <c r="CY53" i="1" s="1"/>
  <c r="BY52" i="1"/>
  <c r="BY53" i="1" s="1"/>
  <c r="M52" i="1"/>
  <c r="M53" i="1" s="1"/>
  <c r="DG52" i="1"/>
  <c r="DG53" i="1" s="1"/>
  <c r="CG52" i="1"/>
  <c r="CG53" i="1" s="1"/>
  <c r="BB52" i="1"/>
  <c r="BB53" i="1" s="1"/>
  <c r="AJ52" i="1"/>
  <c r="AJ53" i="1" s="1"/>
  <c r="S52" i="1"/>
  <c r="S53" i="1" s="1"/>
  <c r="BN52" i="1"/>
  <c r="ED52" i="1"/>
  <c r="ED53" i="1" s="1"/>
  <c r="DV52" i="1"/>
  <c r="DV53" i="1" s="1"/>
  <c r="DM52" i="1"/>
  <c r="DM53" i="1" s="1"/>
  <c r="DD52" i="1"/>
  <c r="DD53" i="1" s="1"/>
  <c r="CV52" i="1"/>
  <c r="CV53" i="1" s="1"/>
  <c r="CM52" i="1"/>
  <c r="CM53" i="1" s="1"/>
  <c r="CD52" i="1"/>
  <c r="CD53" i="1" s="1"/>
  <c r="BV52" i="1"/>
  <c r="BV53" i="1" s="1"/>
  <c r="AZ52" i="1"/>
  <c r="AZ53" i="1" s="1"/>
  <c r="AP52" i="1"/>
  <c r="AP53" i="1" s="1"/>
  <c r="AH52" i="1"/>
  <c r="AH53" i="1" s="1"/>
  <c r="Y52" i="1"/>
  <c r="Y53" i="1" s="1"/>
  <c r="H52" i="1"/>
  <c r="H53" i="1" s="1"/>
  <c r="P52" i="1"/>
  <c r="P53" i="1" s="1"/>
  <c r="BL52" i="1"/>
  <c r="DT52" i="1"/>
  <c r="DT53" i="1" s="1"/>
  <c r="CT52" i="1"/>
  <c r="CT53" i="1" s="1"/>
  <c r="CB52" i="1"/>
  <c r="CB53" i="1" s="1"/>
  <c r="AN52" i="1"/>
  <c r="AN53" i="1" s="1"/>
  <c r="AF52" i="1"/>
  <c r="F52" i="1"/>
  <c r="DJ52" i="1"/>
  <c r="DJ53" i="1" s="1"/>
  <c r="DA52" i="1"/>
  <c r="DA53" i="1" s="1"/>
  <c r="BS52" i="1"/>
  <c r="AM52" i="1"/>
  <c r="AM53" i="1" s="1"/>
  <c r="V52" i="1"/>
  <c r="V53" i="1" s="1"/>
  <c r="BQ52" i="1"/>
  <c r="DI52" i="1"/>
  <c r="DI53" i="1" s="1"/>
  <c r="BZ52" i="1"/>
  <c r="BZ53" i="1" s="1"/>
  <c r="AV52" i="1"/>
  <c r="AV53" i="1" s="1"/>
  <c r="AC52" i="1"/>
  <c r="AC53" i="1" s="1"/>
  <c r="BP52" i="1"/>
  <c r="DP52" i="1"/>
  <c r="DP53" i="1" s="1"/>
  <c r="CP52" i="1"/>
  <c r="CP53" i="1" s="1"/>
  <c r="BC52" i="1"/>
  <c r="BC53" i="1" s="1"/>
  <c r="AB52" i="1"/>
  <c r="AB53" i="1" s="1"/>
  <c r="BO52" i="1"/>
  <c r="BX52" i="1"/>
  <c r="BX53" i="1" s="1"/>
  <c r="AT52" i="1"/>
  <c r="AT53" i="1" s="1"/>
  <c r="AA52" i="1"/>
  <c r="AA53" i="1" s="1"/>
  <c r="N52" i="1"/>
  <c r="N53" i="1" s="1"/>
  <c r="BF52" i="1"/>
  <c r="EC52" i="1"/>
  <c r="EC53" i="1" s="1"/>
  <c r="DU52" i="1"/>
  <c r="DU53" i="1" s="1"/>
  <c r="DL52" i="1"/>
  <c r="DL53" i="1" s="1"/>
  <c r="DC52" i="1"/>
  <c r="DC53" i="1" s="1"/>
  <c r="CU52" i="1"/>
  <c r="CU53" i="1" s="1"/>
  <c r="CL52" i="1"/>
  <c r="CL53" i="1" s="1"/>
  <c r="CC52" i="1"/>
  <c r="CC53" i="1" s="1"/>
  <c r="BU52" i="1"/>
  <c r="BU53" i="1" s="1"/>
  <c r="AY52" i="1"/>
  <c r="AY53" i="1" s="1"/>
  <c r="AO52" i="1"/>
  <c r="AO53" i="1" s="1"/>
  <c r="AG52" i="1"/>
  <c r="AG53" i="1" s="1"/>
  <c r="X52" i="1"/>
  <c r="X53" i="1" s="1"/>
  <c r="I52" i="1"/>
  <c r="I53" i="1" s="1"/>
  <c r="Q52" i="1"/>
  <c r="Q53" i="1" s="1"/>
  <c r="BK52" i="1"/>
  <c r="CK52" i="1"/>
  <c r="CK53" i="1" s="1"/>
  <c r="W52" i="1"/>
  <c r="W53" i="1" s="1"/>
  <c r="BJ52" i="1"/>
  <c r="EA52" i="1"/>
  <c r="EA53" i="1" s="1"/>
  <c r="DS52" i="1"/>
  <c r="CJ52" i="1"/>
  <c r="CJ53" i="1" s="1"/>
  <c r="CA52" i="1"/>
  <c r="CA53" i="1" s="1"/>
  <c r="BI52" i="1"/>
  <c r="DZ52" i="1"/>
  <c r="DZ53" i="1" s="1"/>
  <c r="CZ52" i="1"/>
  <c r="CZ53" i="1" s="1"/>
  <c r="CI52" i="1"/>
  <c r="CI53" i="1" s="1"/>
  <c r="AL52" i="1"/>
  <c r="AL53" i="1" s="1"/>
  <c r="L52" i="1"/>
  <c r="L53" i="1" s="1"/>
  <c r="DH52" i="1"/>
  <c r="DH53" i="1" s="1"/>
  <c r="CH52" i="1"/>
  <c r="CH53" i="1" s="1"/>
  <c r="AU52" i="1"/>
  <c r="AU53" i="1" s="1"/>
  <c r="T52" i="1"/>
  <c r="T53" i="1" s="1"/>
  <c r="BG52" i="1"/>
  <c r="DX52" i="1"/>
  <c r="DX53" i="1" s="1"/>
  <c r="DO52" i="1"/>
  <c r="DO53" i="1" s="1"/>
  <c r="CX52" i="1"/>
  <c r="CX53" i="1" s="1"/>
  <c r="CO52" i="1"/>
  <c r="CO53" i="1" s="1"/>
  <c r="BM53" i="1"/>
  <c r="BQ53" i="1"/>
  <c r="BL53" i="1"/>
  <c r="BP53" i="1"/>
  <c r="BO53" i="1"/>
  <c r="BF53" i="1"/>
  <c r="BK53" i="1"/>
  <c r="BI53" i="1"/>
  <c r="BH53" i="1"/>
  <c r="BJ53" i="1"/>
  <c r="BG53" i="1"/>
  <c r="BN53" i="1"/>
  <c r="K16" i="24"/>
  <c r="K23" i="24"/>
  <c r="K22" i="24"/>
  <c r="K21" i="24"/>
  <c r="K19" i="24"/>
  <c r="K18" i="24"/>
  <c r="K20" i="24"/>
  <c r="K25" i="24"/>
  <c r="K17" i="24"/>
  <c r="AF53" i="1" l="1"/>
  <c r="BR52" i="1"/>
  <c r="BS53" i="1"/>
  <c r="CE53" i="1" s="1"/>
  <c r="CE52" i="1"/>
  <c r="CF53" i="1"/>
  <c r="CR53" i="1" s="1"/>
  <c r="CR52" i="1"/>
  <c r="DS53" i="1"/>
  <c r="EE53" i="1" s="1"/>
  <c r="EE52" i="1"/>
  <c r="CS53" i="1"/>
  <c r="DE53" i="1" s="1"/>
  <c r="DE52" i="1"/>
  <c r="F53" i="1"/>
  <c r="R53" i="1" s="1"/>
  <c r="R52" i="1"/>
  <c r="DF53" i="1"/>
  <c r="DR53" i="1" s="1"/>
  <c r="DR52" i="1"/>
  <c r="AS53" i="1"/>
  <c r="BR53" i="1"/>
  <c r="M20" i="25" l="1"/>
  <c r="K21" i="17"/>
  <c r="I20" i="25"/>
  <c r="N21" i="17"/>
  <c r="L20" i="25"/>
  <c r="J20" i="25"/>
  <c r="L21" i="17"/>
  <c r="F21" i="17"/>
  <c r="D20" i="25"/>
  <c r="O21" i="17"/>
  <c r="M21" i="25"/>
  <c r="M21" i="17"/>
  <c r="K20" i="25"/>
  <c r="J21" i="17"/>
  <c r="H20" i="25"/>
  <c r="BD11" i="1" l="1"/>
  <c r="BC11" i="1"/>
  <c r="BB11" i="1"/>
  <c r="BA11" i="1"/>
  <c r="AZ11" i="1"/>
  <c r="AY11" i="1"/>
  <c r="AX11" i="1"/>
  <c r="AW11" i="1"/>
  <c r="AV11" i="1"/>
  <c r="AU11" i="1"/>
  <c r="AT11" i="1"/>
  <c r="AS11" i="1"/>
  <c r="BD10" i="1"/>
  <c r="BC10" i="1"/>
  <c r="BB10" i="1"/>
  <c r="BA10" i="1"/>
  <c r="AZ10" i="1"/>
  <c r="AY10" i="1"/>
  <c r="AX10" i="1"/>
  <c r="AW10" i="1"/>
  <c r="AV10" i="1"/>
  <c r="AU10" i="1"/>
  <c r="AT10" i="1"/>
  <c r="AS10" i="1"/>
  <c r="BD9" i="1"/>
  <c r="BC9" i="1"/>
  <c r="BB9" i="1"/>
  <c r="BA9" i="1"/>
  <c r="AZ9" i="1"/>
  <c r="AY9" i="1"/>
  <c r="AX9" i="1"/>
  <c r="AW9" i="1"/>
  <c r="AV9" i="1"/>
  <c r="AU9" i="1"/>
  <c r="AT9" i="1"/>
  <c r="AS9" i="1"/>
  <c r="AD10" i="1"/>
  <c r="AC10" i="1"/>
  <c r="AB10" i="1"/>
  <c r="AA10" i="1"/>
  <c r="Z10" i="1"/>
  <c r="Y10" i="1"/>
  <c r="X10" i="1"/>
  <c r="W10" i="1"/>
  <c r="V10" i="1"/>
  <c r="U10" i="1"/>
  <c r="T10" i="1"/>
  <c r="Q10" i="1"/>
  <c r="M7" i="48" s="1"/>
  <c r="P10" i="1"/>
  <c r="L7" i="48" s="1"/>
  <c r="O10" i="1"/>
  <c r="K7" i="48" s="1"/>
  <c r="N10" i="1"/>
  <c r="J7" i="48" s="1"/>
  <c r="M10" i="1"/>
  <c r="I7" i="48" s="1"/>
  <c r="L10" i="1"/>
  <c r="H7" i="48" s="1"/>
  <c r="K10" i="1"/>
  <c r="G7" i="48" s="1"/>
  <c r="J10" i="1"/>
  <c r="F7" i="48" s="1"/>
  <c r="I10" i="1"/>
  <c r="E7" i="48" s="1"/>
  <c r="H10" i="1"/>
  <c r="D7" i="48" s="1"/>
  <c r="G10" i="1"/>
  <c r="C7" i="48" s="1"/>
  <c r="F10" i="1"/>
  <c r="G9" i="1"/>
  <c r="C6" i="48" s="1"/>
  <c r="H9" i="1"/>
  <c r="D6" i="48" s="1"/>
  <c r="I9" i="1"/>
  <c r="E6" i="48" s="1"/>
  <c r="J9" i="1"/>
  <c r="F6" i="48" s="1"/>
  <c r="K9" i="1"/>
  <c r="G6" i="48" s="1"/>
  <c r="L9" i="1"/>
  <c r="H6" i="48" s="1"/>
  <c r="M9" i="1"/>
  <c r="I6" i="48" s="1"/>
  <c r="N9" i="1"/>
  <c r="J6" i="48" s="1"/>
  <c r="O9" i="1"/>
  <c r="K6" i="48" s="1"/>
  <c r="P9" i="1"/>
  <c r="L6" i="48" s="1"/>
  <c r="Q9" i="1"/>
  <c r="M6" i="48" s="1"/>
  <c r="T11" i="1"/>
  <c r="U11" i="1"/>
  <c r="V11" i="1"/>
  <c r="W11" i="1"/>
  <c r="X11" i="1"/>
  <c r="Y11" i="1"/>
  <c r="Z11" i="1"/>
  <c r="AA11" i="1"/>
  <c r="AB11" i="1"/>
  <c r="AC11" i="1"/>
  <c r="AD11" i="1"/>
  <c r="T9" i="1"/>
  <c r="U9" i="1"/>
  <c r="V9" i="1"/>
  <c r="W9" i="1"/>
  <c r="X9" i="1"/>
  <c r="Y9" i="1"/>
  <c r="Z9" i="1"/>
  <c r="AA9" i="1"/>
  <c r="AB9" i="1"/>
  <c r="AC9" i="1"/>
  <c r="AD9" i="1"/>
  <c r="S11" i="1"/>
  <c r="S9" i="1"/>
  <c r="G11" i="1"/>
  <c r="C8" i="48" s="1"/>
  <c r="H11" i="1"/>
  <c r="D8" i="48" s="1"/>
  <c r="I11" i="1"/>
  <c r="E8" i="48" s="1"/>
  <c r="J11" i="1"/>
  <c r="F8" i="48" s="1"/>
  <c r="K11" i="1"/>
  <c r="G8" i="48" s="1"/>
  <c r="L11" i="1"/>
  <c r="H8" i="48" s="1"/>
  <c r="M11" i="1"/>
  <c r="I8" i="48" s="1"/>
  <c r="N11" i="1"/>
  <c r="J8" i="48" s="1"/>
  <c r="O11" i="1"/>
  <c r="K8" i="48" s="1"/>
  <c r="P11" i="1"/>
  <c r="L8" i="48" s="1"/>
  <c r="Q11" i="1"/>
  <c r="M8" i="48" s="1"/>
  <c r="AZ7" i="20"/>
  <c r="BA7" i="20" s="1"/>
  <c r="BB7" i="20" s="1"/>
  <c r="BC7" i="20" s="1"/>
  <c r="BD7" i="20" s="1"/>
  <c r="BE7" i="20" s="1"/>
  <c r="BF7" i="20" s="1"/>
  <c r="BG7" i="20" s="1"/>
  <c r="BH7" i="20" s="1"/>
  <c r="BI7" i="20" s="1"/>
  <c r="BJ7" i="20" s="1"/>
  <c r="BK7" i="20" s="1"/>
  <c r="BL7" i="20" s="1"/>
  <c r="BM7" i="20" s="1"/>
  <c r="BN7" i="20" s="1"/>
  <c r="BO7" i="20" s="1"/>
  <c r="BP7" i="20" s="1"/>
  <c r="BQ7" i="20" s="1"/>
  <c r="BR7" i="20" s="1"/>
  <c r="BS7" i="20" s="1"/>
  <c r="BT7" i="20" s="1"/>
  <c r="BU7" i="20" s="1"/>
  <c r="BV7" i="20" s="1"/>
  <c r="BW7" i="20" s="1"/>
  <c r="BX7" i="20" s="1"/>
  <c r="BY7" i="20" s="1"/>
  <c r="BZ7" i="20" s="1"/>
  <c r="CA7" i="20" s="1"/>
  <c r="CB7" i="20" s="1"/>
  <c r="CC7" i="20" s="1"/>
  <c r="CD7" i="20" s="1"/>
  <c r="CE7" i="20" s="1"/>
  <c r="CF7" i="20" s="1"/>
  <c r="CG7" i="20" s="1"/>
  <c r="CH7" i="20" s="1"/>
  <c r="CI7" i="20" s="1"/>
  <c r="CJ7" i="20" s="1"/>
  <c r="CK7" i="20" s="1"/>
  <c r="CL7" i="20" s="1"/>
  <c r="CM7" i="20" s="1"/>
  <c r="CN7" i="20" s="1"/>
  <c r="CO7" i="20" s="1"/>
  <c r="CP7" i="20" s="1"/>
  <c r="CQ7" i="20" s="1"/>
  <c r="CR7" i="20" s="1"/>
  <c r="CS7" i="20" s="1"/>
  <c r="CT7" i="20" s="1"/>
  <c r="CU7" i="20" s="1"/>
  <c r="CV7" i="20" s="1"/>
  <c r="CW7" i="20" s="1"/>
  <c r="CX7" i="20" s="1"/>
  <c r="CY7" i="20" s="1"/>
  <c r="CZ7" i="20" s="1"/>
  <c r="DA7" i="20" s="1"/>
  <c r="DB7" i="20" s="1"/>
  <c r="DC7" i="20" s="1"/>
  <c r="DD7" i="20" s="1"/>
  <c r="DE7" i="20" s="1"/>
  <c r="DF7" i="20" s="1"/>
  <c r="DG7" i="20" s="1"/>
  <c r="DH7" i="20" s="1"/>
  <c r="DI7" i="20" s="1"/>
  <c r="DJ7" i="20" s="1"/>
  <c r="DK7" i="20" s="1"/>
  <c r="DL7" i="20" s="1"/>
  <c r="DM7" i="20" s="1"/>
  <c r="DN7" i="20" s="1"/>
  <c r="DO7" i="20" s="1"/>
  <c r="DP7" i="20" s="1"/>
  <c r="DQ7" i="20" s="1"/>
  <c r="DR7" i="20" s="1"/>
  <c r="DS7" i="20" s="1"/>
  <c r="B12" i="1"/>
  <c r="A9" i="48" s="1"/>
  <c r="B9" i="1"/>
  <c r="A6" i="48" s="1"/>
  <c r="F13" i="1" l="1"/>
  <c r="B10" i="48" s="1"/>
  <c r="B7" i="48"/>
  <c r="R9" i="1"/>
  <c r="N6" i="48" s="1"/>
  <c r="AE11" i="1"/>
  <c r="AE9" i="1"/>
  <c r="BR10" i="1"/>
  <c r="DE9" i="1"/>
  <c r="BE9" i="1"/>
  <c r="BE11" i="1"/>
  <c r="CE9" i="1"/>
  <c r="CE10" i="1"/>
  <c r="CR10" i="1"/>
  <c r="DE10" i="1"/>
  <c r="DR9" i="1"/>
  <c r="DR10" i="1"/>
  <c r="EE9" i="1"/>
  <c r="BE10" i="1"/>
  <c r="BR9" i="1"/>
  <c r="CR9" i="1"/>
  <c r="EE10" i="1"/>
  <c r="AR10" i="1"/>
  <c r="AR11" i="1"/>
  <c r="AR9" i="1"/>
  <c r="AE10" i="1"/>
  <c r="R11" i="1"/>
  <c r="N8" i="48" s="1"/>
  <c r="R10" i="1"/>
  <c r="N7" i="48" s="1"/>
  <c r="BR11" i="1" l="1"/>
  <c r="DE11" i="1"/>
  <c r="CE11" i="1"/>
  <c r="CR11" i="1"/>
  <c r="DR11" i="1"/>
  <c r="EE11" i="1"/>
  <c r="W53" i="3"/>
  <c r="F33" i="17" l="1"/>
  <c r="F37" i="17"/>
  <c r="B1" i="19"/>
  <c r="B1" i="11"/>
  <c r="B1" i="15"/>
  <c r="B1" i="18"/>
  <c r="B1" i="16"/>
  <c r="B1" i="1"/>
  <c r="B1" i="6"/>
  <c r="B1" i="3"/>
  <c r="F41" i="17" l="1"/>
  <c r="P24" i="19"/>
  <c r="O24" i="19"/>
  <c r="N24" i="19"/>
  <c r="M24" i="19"/>
  <c r="K19" i="19"/>
  <c r="D17" i="19"/>
  <c r="D10" i="19"/>
  <c r="D4" i="19"/>
  <c r="O13" i="19" s="1"/>
  <c r="L8" i="19"/>
  <c r="L7" i="19"/>
  <c r="H5" i="18"/>
  <c r="H9" i="18" s="1"/>
  <c r="G28" i="18"/>
  <c r="F28" i="18"/>
  <c r="F34" i="18" s="1"/>
  <c r="E28" i="18"/>
  <c r="C51" i="11"/>
  <c r="H51" i="11"/>
  <c r="D26" i="18"/>
  <c r="G30" i="18"/>
  <c r="F30" i="18"/>
  <c r="E30" i="18"/>
  <c r="G27" i="18"/>
  <c r="F27" i="18"/>
  <c r="E27" i="18"/>
  <c r="G26" i="18"/>
  <c r="F26" i="18"/>
  <c r="E26" i="18"/>
  <c r="G23" i="18"/>
  <c r="F23" i="18"/>
  <c r="E23" i="18"/>
  <c r="G9" i="18"/>
  <c r="F9" i="18"/>
  <c r="E9" i="18"/>
  <c r="D9" i="18"/>
  <c r="H20" i="16"/>
  <c r="I20" i="16" s="1"/>
  <c r="J20" i="16" s="1"/>
  <c r="K20" i="16" s="1"/>
  <c r="D16" i="19"/>
  <c r="B7" i="1"/>
  <c r="A4" i="48" s="1"/>
  <c r="B31" i="1"/>
  <c r="A28" i="48" s="1"/>
  <c r="B30" i="1"/>
  <c r="A27" i="48" s="1"/>
  <c r="B29" i="1"/>
  <c r="A26" i="48" s="1"/>
  <c r="B28" i="1"/>
  <c r="A25" i="48" s="1"/>
  <c r="B27" i="1"/>
  <c r="A24" i="48" s="1"/>
  <c r="B26" i="1"/>
  <c r="A23" i="48" s="1"/>
  <c r="B25" i="1"/>
  <c r="A22" i="48" s="1"/>
  <c r="B24" i="1"/>
  <c r="A21" i="48" s="1"/>
  <c r="B23" i="1"/>
  <c r="A20" i="48" s="1"/>
  <c r="B22" i="1"/>
  <c r="A19" i="48" s="1"/>
  <c r="B21" i="1"/>
  <c r="A18" i="48" s="1"/>
  <c r="B20" i="1"/>
  <c r="A17" i="48" s="1"/>
  <c r="B19" i="1"/>
  <c r="A16" i="48" s="1"/>
  <c r="B15" i="1"/>
  <c r="B14" i="1"/>
  <c r="A11" i="48" s="1"/>
  <c r="B13" i="1"/>
  <c r="B8" i="1"/>
  <c r="A5" i="48" s="1"/>
  <c r="B6" i="1"/>
  <c r="A3" i="48" s="1"/>
  <c r="D5" i="16"/>
  <c r="I51" i="11"/>
  <c r="G50" i="11"/>
  <c r="E50" i="11"/>
  <c r="I50" i="11"/>
  <c r="H50" i="11"/>
  <c r="F50" i="11"/>
  <c r="D50" i="11"/>
  <c r="C50" i="11"/>
  <c r="K49" i="11"/>
  <c r="J49" i="11"/>
  <c r="K48" i="11"/>
  <c r="J48" i="11"/>
  <c r="K47" i="11"/>
  <c r="J47" i="11"/>
  <c r="K46" i="11"/>
  <c r="J46" i="11"/>
  <c r="K45" i="11"/>
  <c r="J45" i="11"/>
  <c r="K44" i="11"/>
  <c r="K50" i="11" s="1"/>
  <c r="J44" i="11"/>
  <c r="J50" i="11" s="1"/>
  <c r="I39" i="11"/>
  <c r="I35" i="11"/>
  <c r="I36" i="11"/>
  <c r="I37" i="11"/>
  <c r="I34" i="11"/>
  <c r="I31" i="11"/>
  <c r="I26" i="11"/>
  <c r="I27" i="11"/>
  <c r="I28" i="11"/>
  <c r="I29" i="11"/>
  <c r="I25" i="11"/>
  <c r="I22" i="11"/>
  <c r="I21" i="11"/>
  <c r="I19" i="11"/>
  <c r="I18" i="11"/>
  <c r="I15" i="11"/>
  <c r="I14" i="11"/>
  <c r="I7" i="11"/>
  <c r="I8" i="11"/>
  <c r="I9" i="11"/>
  <c r="I10" i="11"/>
  <c r="I11" i="11"/>
  <c r="I12" i="11"/>
  <c r="I6" i="11"/>
  <c r="H13" i="11"/>
  <c r="D38" i="11"/>
  <c r="E38" i="11"/>
  <c r="F38" i="11"/>
  <c r="G38" i="11"/>
  <c r="H38" i="11"/>
  <c r="C38" i="11"/>
  <c r="D30" i="11"/>
  <c r="E30" i="11"/>
  <c r="F30" i="11"/>
  <c r="G30" i="11"/>
  <c r="H30" i="11"/>
  <c r="C30" i="11"/>
  <c r="D20" i="11"/>
  <c r="E20" i="11"/>
  <c r="F20" i="11"/>
  <c r="G20" i="11"/>
  <c r="H20" i="11"/>
  <c r="C20" i="11"/>
  <c r="G13" i="11"/>
  <c r="D13" i="11"/>
  <c r="E13" i="11"/>
  <c r="F13" i="11"/>
  <c r="C13" i="11"/>
  <c r="G23" i="15"/>
  <c r="G29" i="15"/>
  <c r="G33" i="15"/>
  <c r="G34" i="15"/>
  <c r="G21" i="15"/>
  <c r="G20" i="15"/>
  <c r="G15" i="15"/>
  <c r="G13" i="15"/>
  <c r="G12" i="15"/>
  <c r="G11" i="15"/>
  <c r="G10" i="15"/>
  <c r="G4" i="15"/>
  <c r="G39" i="15"/>
  <c r="G38" i="15"/>
  <c r="G37" i="15"/>
  <c r="G36" i="15"/>
  <c r="G35" i="15"/>
  <c r="G32" i="15"/>
  <c r="G31" i="15"/>
  <c r="G30" i="15"/>
  <c r="G28" i="15"/>
  <c r="G27" i="15"/>
  <c r="G26" i="15"/>
  <c r="G25" i="15"/>
  <c r="G24" i="15"/>
  <c r="G22" i="15"/>
  <c r="G19" i="15"/>
  <c r="G18" i="15"/>
  <c r="G17" i="15"/>
  <c r="G16" i="15"/>
  <c r="G14" i="15"/>
  <c r="G6" i="15"/>
  <c r="G5" i="15"/>
  <c r="J6" i="16"/>
  <c r="D28" i="1"/>
  <c r="G63" i="1"/>
  <c r="H63" i="1"/>
  <c r="I63" i="1"/>
  <c r="J63" i="1"/>
  <c r="K63" i="1"/>
  <c r="B10" i="1" l="1"/>
  <c r="A7" i="48" s="1"/>
  <c r="A10" i="48"/>
  <c r="B11" i="1"/>
  <c r="A8" i="48" s="1"/>
  <c r="A12" i="48"/>
  <c r="I30" i="11"/>
  <c r="I13" i="11"/>
  <c r="G7" i="15"/>
  <c r="G40" i="15"/>
  <c r="I20" i="11"/>
  <c r="I38" i="11"/>
  <c r="I8" i="19"/>
  <c r="G20" i="16"/>
  <c r="F20" i="16" s="1"/>
  <c r="E20" i="16" s="1"/>
  <c r="D20" i="16" s="1"/>
  <c r="L4" i="19"/>
  <c r="L14" i="19" s="1"/>
  <c r="E33" i="18"/>
  <c r="G31" i="18"/>
  <c r="D15" i="19"/>
  <c r="D5" i="19" s="1"/>
  <c r="D51" i="11"/>
  <c r="J51" i="11" s="1"/>
  <c r="D6" i="19"/>
  <c r="I16" i="19"/>
  <c r="F51" i="11"/>
  <c r="K51" i="11" s="1"/>
  <c r="E32" i="18"/>
  <c r="F32" i="18"/>
  <c r="H26" i="18"/>
  <c r="E31" i="18"/>
  <c r="G29" i="18"/>
  <c r="D27" i="18"/>
  <c r="H27" i="18" s="1"/>
  <c r="D7" i="19"/>
  <c r="F29" i="18"/>
  <c r="G32" i="18"/>
  <c r="G33" i="18"/>
  <c r="F33" i="18"/>
  <c r="I15" i="19"/>
  <c r="E34" i="18"/>
  <c r="H30" i="18"/>
  <c r="O14" i="19"/>
  <c r="G34" i="18"/>
  <c r="H23" i="18"/>
  <c r="F31" i="18"/>
  <c r="E29" i="18"/>
  <c r="J5" i="16"/>
  <c r="AR20" i="1" l="1"/>
  <c r="AR21" i="1"/>
  <c r="AR22" i="1"/>
  <c r="G41" i="15"/>
  <c r="G42" i="15" s="1"/>
  <c r="G43" i="15" s="1"/>
  <c r="G14" i="1"/>
  <c r="C11" i="48" s="1"/>
  <c r="G15" i="1"/>
  <c r="C12" i="48" s="1"/>
  <c r="G13" i="1"/>
  <c r="C10" i="48" s="1"/>
  <c r="G12" i="1"/>
  <c r="C9" i="48" s="1"/>
  <c r="R26" i="1"/>
  <c r="N23" i="48" s="1"/>
  <c r="G51" i="11"/>
  <c r="I9" i="19"/>
  <c r="D14" i="19"/>
  <c r="H22" i="19"/>
  <c r="R30" i="1"/>
  <c r="N27" i="48" s="1"/>
  <c r="H32" i="18"/>
  <c r="I5" i="19"/>
  <c r="G24" i="3"/>
  <c r="J7" i="16"/>
  <c r="D27" i="19"/>
  <c r="D6" i="16"/>
  <c r="E27" i="19"/>
  <c r="L5" i="19"/>
  <c r="L6" i="19"/>
  <c r="L15" i="19"/>
  <c r="D8" i="19"/>
  <c r="I22" i="19"/>
  <c r="F16" i="1" l="1"/>
  <c r="F39" i="1" s="1"/>
  <c r="G16" i="1"/>
  <c r="G39" i="1" s="1"/>
  <c r="R19" i="1"/>
  <c r="N16" i="48" s="1"/>
  <c r="AR24" i="1"/>
  <c r="AR23" i="1"/>
  <c r="AR27" i="1"/>
  <c r="AR30" i="1"/>
  <c r="AR26" i="1"/>
  <c r="G44" i="15"/>
  <c r="H14" i="1"/>
  <c r="D11" i="48" s="1"/>
  <c r="H13" i="1"/>
  <c r="D10" i="48" s="1"/>
  <c r="H12" i="1"/>
  <c r="D9" i="48" s="1"/>
  <c r="H15" i="1"/>
  <c r="D12" i="48" s="1"/>
  <c r="D13" i="25"/>
  <c r="D22" i="19"/>
  <c r="R25" i="1"/>
  <c r="N22" i="48" s="1"/>
  <c r="R20" i="1"/>
  <c r="N17" i="48" s="1"/>
  <c r="R24" i="1"/>
  <c r="N21" i="48" s="1"/>
  <c r="R22" i="1"/>
  <c r="N19" i="48" s="1"/>
  <c r="R27" i="1"/>
  <c r="N24" i="48" s="1"/>
  <c r="R21" i="1"/>
  <c r="N18" i="48" s="1"/>
  <c r="E22" i="19"/>
  <c r="C13" i="48" l="1"/>
  <c r="B13" i="48"/>
  <c r="G28" i="1"/>
  <c r="C25" i="48" s="1"/>
  <c r="F28" i="1"/>
  <c r="B25" i="48" s="1"/>
  <c r="H16" i="1"/>
  <c r="H39" i="1" s="1"/>
  <c r="AR25" i="1"/>
  <c r="AR19" i="1"/>
  <c r="I14" i="1"/>
  <c r="E11" i="48" s="1"/>
  <c r="I15" i="1"/>
  <c r="E12" i="48" s="1"/>
  <c r="I13" i="1"/>
  <c r="E10" i="48" s="1"/>
  <c r="I12" i="1"/>
  <c r="E9" i="48" s="1"/>
  <c r="D13" i="48" l="1"/>
  <c r="H28" i="1"/>
  <c r="D25" i="48" s="1"/>
  <c r="I16" i="1"/>
  <c r="I39" i="1" s="1"/>
  <c r="AE22" i="1"/>
  <c r="BE19" i="1"/>
  <c r="AE19" i="1"/>
  <c r="AE26" i="1"/>
  <c r="J13" i="1"/>
  <c r="F10" i="48" s="1"/>
  <c r="J15" i="1"/>
  <c r="F12" i="48" s="1"/>
  <c r="J12" i="1"/>
  <c r="F9" i="48" s="1"/>
  <c r="J14" i="1"/>
  <c r="F11" i="48" s="1"/>
  <c r="R29" i="1"/>
  <c r="N26" i="48" s="1"/>
  <c r="AE24" i="1"/>
  <c r="R23" i="1"/>
  <c r="N20" i="48" s="1"/>
  <c r="R8" i="1"/>
  <c r="N5" i="48" s="1"/>
  <c r="BR19" i="1"/>
  <c r="E13" i="48" l="1"/>
  <c r="I28" i="1"/>
  <c r="E25" i="48" s="1"/>
  <c r="J16" i="1"/>
  <c r="J39" i="1" s="1"/>
  <c r="AR29" i="1"/>
  <c r="AE30" i="1"/>
  <c r="E13" i="25" s="1"/>
  <c r="AE21" i="1"/>
  <c r="AE27" i="1"/>
  <c r="AE25" i="1"/>
  <c r="K12" i="1"/>
  <c r="G9" i="48" s="1"/>
  <c r="K14" i="1"/>
  <c r="G11" i="48" s="1"/>
  <c r="K13" i="1"/>
  <c r="G10" i="48" s="1"/>
  <c r="K15" i="1"/>
  <c r="G12" i="48" s="1"/>
  <c r="BE24" i="1"/>
  <c r="BE22" i="1"/>
  <c r="CE19" i="1"/>
  <c r="F13" i="48" l="1"/>
  <c r="J28" i="1"/>
  <c r="F25" i="48" s="1"/>
  <c r="K16" i="1"/>
  <c r="K39" i="1" s="1"/>
  <c r="AE20" i="1"/>
  <c r="CE23" i="1"/>
  <c r="BE23" i="1"/>
  <c r="EE23" i="1"/>
  <c r="AE23" i="1"/>
  <c r="BR23" i="1"/>
  <c r="BE26" i="1"/>
  <c r="F13" i="25"/>
  <c r="L15" i="1"/>
  <c r="H12" i="48" s="1"/>
  <c r="L14" i="1"/>
  <c r="H11" i="48" s="1"/>
  <c r="L13" i="1"/>
  <c r="H10" i="48" s="1"/>
  <c r="L12" i="1"/>
  <c r="H9" i="48" s="1"/>
  <c r="BR22" i="1"/>
  <c r="BR24" i="1"/>
  <c r="CR19" i="1"/>
  <c r="CR23" i="1"/>
  <c r="G13" i="48" l="1"/>
  <c r="K28" i="1"/>
  <c r="G25" i="48" s="1"/>
  <c r="L16" i="1"/>
  <c r="L39" i="1" s="1"/>
  <c r="BE21" i="1"/>
  <c r="BE30" i="1"/>
  <c r="G13" i="25" s="1"/>
  <c r="BE27" i="1"/>
  <c r="BE25" i="1"/>
  <c r="BR26" i="1"/>
  <c r="M15" i="1"/>
  <c r="I12" i="48" s="1"/>
  <c r="M13" i="1"/>
  <c r="I10" i="48" s="1"/>
  <c r="M14" i="1"/>
  <c r="I11" i="48" s="1"/>
  <c r="M12" i="1"/>
  <c r="I9" i="48" s="1"/>
  <c r="CE22" i="1"/>
  <c r="CE24" i="1"/>
  <c r="DE19" i="1"/>
  <c r="DE23" i="1"/>
  <c r="H13" i="48" l="1"/>
  <c r="L28" i="1"/>
  <c r="H25" i="48" s="1"/>
  <c r="M16" i="1"/>
  <c r="M39" i="1" s="1"/>
  <c r="BE20" i="1"/>
  <c r="BR25" i="1"/>
  <c r="CE26" i="1"/>
  <c r="BR27" i="1"/>
  <c r="BR30" i="1"/>
  <c r="H13" i="25" s="1"/>
  <c r="BR21" i="1"/>
  <c r="N14" i="1"/>
  <c r="J11" i="48" s="1"/>
  <c r="N15" i="1"/>
  <c r="J12" i="48" s="1"/>
  <c r="N13" i="1"/>
  <c r="J10" i="48" s="1"/>
  <c r="N12" i="1"/>
  <c r="J9" i="48" s="1"/>
  <c r="CR24" i="1"/>
  <c r="CR22" i="1"/>
  <c r="DR23" i="1"/>
  <c r="DR19" i="1"/>
  <c r="I13" i="48" l="1"/>
  <c r="M28" i="1"/>
  <c r="I25" i="48" s="1"/>
  <c r="N16" i="1"/>
  <c r="N39" i="1" s="1"/>
  <c r="BR20" i="1"/>
  <c r="CE30" i="1"/>
  <c r="I13" i="25" s="1"/>
  <c r="CR26" i="1"/>
  <c r="CE27" i="1"/>
  <c r="CE25" i="1"/>
  <c r="CE21" i="1"/>
  <c r="O12" i="1"/>
  <c r="K9" i="48" s="1"/>
  <c r="O14" i="1"/>
  <c r="K11" i="48" s="1"/>
  <c r="O13" i="1"/>
  <c r="K10" i="48" s="1"/>
  <c r="O15" i="1"/>
  <c r="K12" i="48" s="1"/>
  <c r="DE24" i="1"/>
  <c r="DE22" i="1"/>
  <c r="EE19" i="1"/>
  <c r="J13" i="48" l="1"/>
  <c r="N28" i="1"/>
  <c r="J25" i="48" s="1"/>
  <c r="O16" i="1"/>
  <c r="O39" i="1" s="1"/>
  <c r="CE20" i="1"/>
  <c r="CR27" i="1"/>
  <c r="DE26" i="1"/>
  <c r="CR30" i="1"/>
  <c r="J13" i="25" s="1"/>
  <c r="CR21" i="1"/>
  <c r="CR25" i="1"/>
  <c r="P14" i="1"/>
  <c r="L11" i="48" s="1"/>
  <c r="P15" i="1"/>
  <c r="L12" i="48" s="1"/>
  <c r="P12" i="1"/>
  <c r="L9" i="48" s="1"/>
  <c r="P13" i="1"/>
  <c r="L10" i="48" s="1"/>
  <c r="DR22" i="1"/>
  <c r="DR24" i="1"/>
  <c r="K13" i="48" l="1"/>
  <c r="O28" i="1"/>
  <c r="K25" i="48" s="1"/>
  <c r="P16" i="1"/>
  <c r="P39" i="1" s="1"/>
  <c r="S12" i="1"/>
  <c r="R7" i="1"/>
  <c r="N4" i="48" s="1"/>
  <c r="CR20" i="1"/>
  <c r="DE21" i="1"/>
  <c r="DE27" i="1"/>
  <c r="DE25" i="1"/>
  <c r="DE30" i="1"/>
  <c r="K13" i="25" s="1"/>
  <c r="DR26" i="1"/>
  <c r="Q15" i="1"/>
  <c r="M12" i="48" s="1"/>
  <c r="Q12" i="1"/>
  <c r="M9" i="48" s="1"/>
  <c r="Q13" i="1"/>
  <c r="M10" i="48" s="1"/>
  <c r="Q14" i="1"/>
  <c r="M11" i="48" s="1"/>
  <c r="EE22" i="1"/>
  <c r="EE24" i="1"/>
  <c r="L13" i="48" l="1"/>
  <c r="R14" i="1"/>
  <c r="N11" i="48" s="1"/>
  <c r="R13" i="1"/>
  <c r="N10" i="48" s="1"/>
  <c r="R12" i="1"/>
  <c r="N9" i="48" s="1"/>
  <c r="P28" i="1"/>
  <c r="L25" i="48" s="1"/>
  <c r="Q16" i="1"/>
  <c r="Q39" i="1" s="1"/>
  <c r="D7" i="25"/>
  <c r="DE20" i="1"/>
  <c r="DR27" i="1"/>
  <c r="DR25" i="1"/>
  <c r="DR30" i="1"/>
  <c r="L13" i="25" s="1"/>
  <c r="EE26" i="1"/>
  <c r="DR21" i="1"/>
  <c r="M13" i="48" l="1"/>
  <c r="Q28" i="1"/>
  <c r="M25" i="48" s="1"/>
  <c r="AE7" i="1"/>
  <c r="DR20" i="1"/>
  <c r="EE27" i="1"/>
  <c r="EE21" i="1"/>
  <c r="EE25" i="1"/>
  <c r="EE30" i="1"/>
  <c r="M13" i="25" s="1"/>
  <c r="EE20" i="1" l="1"/>
  <c r="I6" i="19" l="1"/>
  <c r="E16" i="1" l="1"/>
  <c r="AE29" i="1" l="1"/>
  <c r="E32" i="1"/>
  <c r="E34" i="1" s="1"/>
  <c r="E36" i="1" l="1"/>
  <c r="D28" i="18"/>
  <c r="D31" i="18" s="1"/>
  <c r="H28" i="18"/>
  <c r="D12" i="19"/>
  <c r="BE29" i="1" l="1"/>
  <c r="D29" i="18"/>
  <c r="H29" i="18"/>
  <c r="H31" i="18"/>
  <c r="H34" i="18"/>
  <c r="H33" i="18"/>
  <c r="AR7" i="1" l="1"/>
  <c r="F32" i="1"/>
  <c r="B29" i="48" s="1"/>
  <c r="BR29" i="1"/>
  <c r="F34" i="1" l="1"/>
  <c r="G32" i="1"/>
  <c r="C29" i="48" s="1"/>
  <c r="F36" i="1"/>
  <c r="CE29" i="1"/>
  <c r="D9" i="16"/>
  <c r="B31" i="48" l="1"/>
  <c r="G34" i="1"/>
  <c r="BE7" i="1"/>
  <c r="G36" i="1"/>
  <c r="H32" i="1"/>
  <c r="D29" i="48" s="1"/>
  <c r="CR29" i="1"/>
  <c r="C31" i="48" l="1"/>
  <c r="H34" i="1"/>
  <c r="K32" i="1"/>
  <c r="G29" i="48" s="1"/>
  <c r="I32" i="1"/>
  <c r="E29" i="48" s="1"/>
  <c r="R31" i="1"/>
  <c r="N28" i="48" s="1"/>
  <c r="H36" i="1"/>
  <c r="J32" i="1"/>
  <c r="F29" i="48" s="1"/>
  <c r="DE29" i="1"/>
  <c r="D31" i="48" l="1"/>
  <c r="I34" i="1"/>
  <c r="K34" i="1"/>
  <c r="J34" i="1"/>
  <c r="AR31" i="1"/>
  <c r="K36" i="1"/>
  <c r="I36" i="1"/>
  <c r="J36" i="1"/>
  <c r="DR29" i="1"/>
  <c r="EE29" i="1"/>
  <c r="L32" i="1"/>
  <c r="H29" i="48" s="1"/>
  <c r="E31" i="48" l="1"/>
  <c r="G31" i="48"/>
  <c r="F31" i="48"/>
  <c r="L34" i="1"/>
  <c r="AE31" i="1"/>
  <c r="M32" i="1"/>
  <c r="I29" i="48" s="1"/>
  <c r="L36" i="1"/>
  <c r="H31" i="48" l="1"/>
  <c r="M34" i="1"/>
  <c r="L63" i="1"/>
  <c r="N32" i="1"/>
  <c r="J29" i="48" s="1"/>
  <c r="M36" i="1"/>
  <c r="I31" i="48" l="1"/>
  <c r="N34" i="1"/>
  <c r="M63" i="1"/>
  <c r="BE31" i="1"/>
  <c r="N36" i="1"/>
  <c r="R6" i="1"/>
  <c r="O32" i="1"/>
  <c r="K29" i="48" s="1"/>
  <c r="R15" i="1"/>
  <c r="N12" i="48" s="1"/>
  <c r="N3" i="48" l="1"/>
  <c r="AE5" i="1"/>
  <c r="J31" i="48"/>
  <c r="N63" i="1"/>
  <c r="O34" i="1"/>
  <c r="S13" i="1"/>
  <c r="D6" i="25"/>
  <c r="D8" i="25" s="1"/>
  <c r="BR31" i="1"/>
  <c r="P32" i="1"/>
  <c r="L29" i="48" s="1"/>
  <c r="D9" i="25"/>
  <c r="O36" i="1"/>
  <c r="K31" i="48" l="1"/>
  <c r="P34" i="1"/>
  <c r="D10" i="25"/>
  <c r="CE31" i="1"/>
  <c r="O63" i="1"/>
  <c r="P36" i="1"/>
  <c r="S14" i="1"/>
  <c r="S15" i="1"/>
  <c r="R16" i="1"/>
  <c r="N13" i="48" s="1"/>
  <c r="L31" i="48" l="1"/>
  <c r="S16" i="1"/>
  <c r="CR31" i="1"/>
  <c r="P63" i="1"/>
  <c r="T13" i="1"/>
  <c r="T12" i="1"/>
  <c r="T15" i="1"/>
  <c r="T14" i="1"/>
  <c r="Q32" i="1"/>
  <c r="M29" i="48" s="1"/>
  <c r="R28" i="1"/>
  <c r="N25" i="48" s="1"/>
  <c r="S39" i="1" l="1"/>
  <c r="S28" i="1"/>
  <c r="R32" i="1"/>
  <c r="N29" i="48" s="1"/>
  <c r="T16" i="1"/>
  <c r="DE31" i="1"/>
  <c r="Q34" i="1"/>
  <c r="U15" i="1"/>
  <c r="U13" i="1"/>
  <c r="U14" i="1"/>
  <c r="U12" i="1"/>
  <c r="D12" i="25"/>
  <c r="Q36" i="1"/>
  <c r="R36" i="1" s="1"/>
  <c r="F14" i="17" s="1"/>
  <c r="T39" i="1" l="1"/>
  <c r="T28" i="1"/>
  <c r="M31" i="48"/>
  <c r="R39" i="1"/>
  <c r="T32" i="1"/>
  <c r="U16" i="1"/>
  <c r="D11" i="25"/>
  <c r="D14" i="25" s="1"/>
  <c r="D15" i="25" s="1"/>
  <c r="DR31" i="1"/>
  <c r="S32" i="1"/>
  <c r="S34" i="1" s="1"/>
  <c r="V14" i="1"/>
  <c r="V15" i="1"/>
  <c r="V13" i="1"/>
  <c r="V12" i="1"/>
  <c r="R34" i="1"/>
  <c r="U39" i="1" l="1"/>
  <c r="U28" i="1"/>
  <c r="F86" i="17"/>
  <c r="D16" i="25"/>
  <c r="N31" i="48"/>
  <c r="U32" i="1"/>
  <c r="U34" i="1" s="1"/>
  <c r="BR7" i="1"/>
  <c r="V16" i="1"/>
  <c r="T34" i="1"/>
  <c r="T36" i="1"/>
  <c r="T37" i="1" s="1"/>
  <c r="EE31" i="1"/>
  <c r="S36" i="1"/>
  <c r="W12" i="1"/>
  <c r="W14" i="1"/>
  <c r="W15" i="1"/>
  <c r="W13" i="1"/>
  <c r="I10" i="19"/>
  <c r="I7" i="19" s="1"/>
  <c r="V39" i="1" l="1"/>
  <c r="V28" i="1"/>
  <c r="V32" i="1" s="1"/>
  <c r="V34" i="1" s="1"/>
  <c r="W16" i="1"/>
  <c r="S63" i="1"/>
  <c r="T63" i="1"/>
  <c r="X14" i="1"/>
  <c r="X12" i="1"/>
  <c r="X15" i="1"/>
  <c r="X13" i="1"/>
  <c r="D13" i="19"/>
  <c r="U36" i="1"/>
  <c r="U37" i="1" s="1"/>
  <c r="W39" i="1" l="1"/>
  <c r="W28" i="1"/>
  <c r="W32" i="1" s="1"/>
  <c r="X16" i="1"/>
  <c r="U63" i="1"/>
  <c r="V36" i="1"/>
  <c r="Y14" i="1"/>
  <c r="Y12" i="1"/>
  <c r="Y15" i="1"/>
  <c r="Y13" i="1"/>
  <c r="X39" i="1" l="1"/>
  <c r="X28" i="1"/>
  <c r="X32" i="1" s="1"/>
  <c r="Y16" i="1"/>
  <c r="W36" i="1"/>
  <c r="W34" i="1"/>
  <c r="V37" i="1"/>
  <c r="V63" i="1"/>
  <c r="Z13" i="1"/>
  <c r="Z15" i="1"/>
  <c r="Z12" i="1"/>
  <c r="Z14" i="1"/>
  <c r="Y39" i="1" l="1"/>
  <c r="Y28" i="1"/>
  <c r="W37" i="1"/>
  <c r="Y32" i="1"/>
  <c r="AF12" i="1"/>
  <c r="AE8" i="1"/>
  <c r="E7" i="25" s="1"/>
  <c r="AF13" i="1"/>
  <c r="Z16" i="1"/>
  <c r="W63" i="1"/>
  <c r="X34" i="1"/>
  <c r="X36" i="1"/>
  <c r="AA15" i="1"/>
  <c r="AA13" i="1"/>
  <c r="AA14" i="1"/>
  <c r="AA12" i="1"/>
  <c r="Z39" i="1" l="1"/>
  <c r="Z28" i="1"/>
  <c r="X63" i="1"/>
  <c r="Z32" i="1"/>
  <c r="AF14" i="1"/>
  <c r="AF15" i="1"/>
  <c r="X37" i="1"/>
  <c r="AA16" i="1"/>
  <c r="Y36" i="1"/>
  <c r="Y34" i="1"/>
  <c r="AB12" i="1"/>
  <c r="AB15" i="1"/>
  <c r="AB13" i="1"/>
  <c r="AB14" i="1"/>
  <c r="AA39" i="1" l="1"/>
  <c r="AA28" i="1"/>
  <c r="Y37" i="1"/>
  <c r="AA32" i="1"/>
  <c r="AF16" i="1"/>
  <c r="AG14" i="1"/>
  <c r="AG12" i="1"/>
  <c r="AG15" i="1"/>
  <c r="AG13" i="1"/>
  <c r="AH15" i="1"/>
  <c r="AH14" i="1"/>
  <c r="AH12" i="1"/>
  <c r="AH13" i="1"/>
  <c r="AB16" i="1"/>
  <c r="Y63" i="1"/>
  <c r="Z36" i="1"/>
  <c r="Z34" i="1"/>
  <c r="AC13" i="1"/>
  <c r="AC12" i="1"/>
  <c r="AC15" i="1"/>
  <c r="AC14" i="1"/>
  <c r="AF39" i="1" l="1"/>
  <c r="AF28" i="1"/>
  <c r="AB39" i="1"/>
  <c r="AB28" i="1"/>
  <c r="Z37" i="1"/>
  <c r="AB32" i="1"/>
  <c r="AG16" i="1"/>
  <c r="AH16" i="1"/>
  <c r="AI13" i="1"/>
  <c r="AI15" i="1"/>
  <c r="AI14" i="1"/>
  <c r="AI12" i="1"/>
  <c r="AC16" i="1"/>
  <c r="Z63" i="1"/>
  <c r="AA36" i="1"/>
  <c r="AA34" i="1"/>
  <c r="E6" i="25"/>
  <c r="E8" i="25" s="1"/>
  <c r="AD14" i="1"/>
  <c r="AE14" i="1" s="1"/>
  <c r="AD12" i="1"/>
  <c r="AD13" i="1"/>
  <c r="AE13" i="1" s="1"/>
  <c r="AD15" i="1"/>
  <c r="AE15" i="1" s="1"/>
  <c r="AH39" i="1" l="1"/>
  <c r="AH28" i="1"/>
  <c r="AG39" i="1"/>
  <c r="AG28" i="1"/>
  <c r="AC39" i="1"/>
  <c r="AC28" i="1"/>
  <c r="AA63" i="1"/>
  <c r="AC32" i="1"/>
  <c r="AI16" i="1"/>
  <c r="AJ12" i="1"/>
  <c r="AJ13" i="1"/>
  <c r="AJ14" i="1"/>
  <c r="AJ15" i="1"/>
  <c r="AD16" i="1"/>
  <c r="AA37" i="1"/>
  <c r="AB36" i="1"/>
  <c r="AB34" i="1"/>
  <c r="AE12" i="1"/>
  <c r="E9" i="25" s="1"/>
  <c r="E10" i="25" s="1"/>
  <c r="AI39" i="1" l="1"/>
  <c r="AI28" i="1"/>
  <c r="AD39" i="1"/>
  <c r="AE39" i="1" s="1"/>
  <c r="AD28" i="1"/>
  <c r="AB63" i="1"/>
  <c r="AE28" i="1"/>
  <c r="E12" i="25" s="1"/>
  <c r="AJ16" i="1"/>
  <c r="AK14" i="1"/>
  <c r="AK13" i="1"/>
  <c r="AK15" i="1"/>
  <c r="AK12" i="1"/>
  <c r="AB37" i="1"/>
  <c r="AC36" i="1"/>
  <c r="AC34" i="1"/>
  <c r="AE16" i="1"/>
  <c r="AJ39" i="1" l="1"/>
  <c r="AJ28" i="1"/>
  <c r="AC63" i="1"/>
  <c r="AK16" i="1"/>
  <c r="AL15" i="1"/>
  <c r="AC37" i="1"/>
  <c r="AD32" i="1"/>
  <c r="AE32" i="1" s="1"/>
  <c r="AE33" i="1" s="1"/>
  <c r="AG32" i="1"/>
  <c r="AE17" i="1"/>
  <c r="AF32" i="1"/>
  <c r="AK39" i="1" l="1"/>
  <c r="AK28" i="1"/>
  <c r="AL13" i="1"/>
  <c r="AL14" i="1"/>
  <c r="AL12" i="1"/>
  <c r="AM14" i="1"/>
  <c r="AD36" i="1"/>
  <c r="AD34" i="1"/>
  <c r="AE34" i="1"/>
  <c r="E11" i="25"/>
  <c r="E14" i="25" s="1"/>
  <c r="E15" i="25" s="1"/>
  <c r="AG34" i="1"/>
  <c r="AG36" i="1"/>
  <c r="AF34" i="1"/>
  <c r="AF36" i="1"/>
  <c r="AD63" i="1" l="1"/>
  <c r="AL16" i="1"/>
  <c r="AM13" i="1"/>
  <c r="AN12" i="1"/>
  <c r="AM15" i="1"/>
  <c r="AM12" i="1"/>
  <c r="CE7" i="1"/>
  <c r="AE36" i="1"/>
  <c r="AD37" i="1"/>
  <c r="AG37" i="1"/>
  <c r="AI32" i="1"/>
  <c r="AF37" i="1"/>
  <c r="AH32" i="1"/>
  <c r="AL39" i="1" l="1"/>
  <c r="AL28" i="1"/>
  <c r="G86" i="17"/>
  <c r="E16" i="25"/>
  <c r="AN15" i="1"/>
  <c r="AN14" i="1"/>
  <c r="AN13" i="1"/>
  <c r="AM16" i="1"/>
  <c r="AO13" i="1"/>
  <c r="AE37" i="1"/>
  <c r="AG63" i="1"/>
  <c r="AF63" i="1"/>
  <c r="AI34" i="1"/>
  <c r="AI36" i="1"/>
  <c r="AH34" i="1"/>
  <c r="AH36" i="1"/>
  <c r="AM39" i="1" l="1"/>
  <c r="AM28" i="1"/>
  <c r="AN16" i="1"/>
  <c r="AO12" i="1"/>
  <c r="AO15" i="1"/>
  <c r="AO14" i="1"/>
  <c r="AP13" i="1"/>
  <c r="AP14" i="1"/>
  <c r="AH63" i="1"/>
  <c r="AI63" i="1"/>
  <c r="AI37" i="1"/>
  <c r="AJ32" i="1"/>
  <c r="AH37" i="1"/>
  <c r="AK32" i="1"/>
  <c r="AN39" i="1" l="1"/>
  <c r="AN28" i="1"/>
  <c r="AO16" i="1"/>
  <c r="AP12" i="1"/>
  <c r="AP15" i="1"/>
  <c r="AQ13" i="1"/>
  <c r="AQ14" i="1"/>
  <c r="AL32" i="1"/>
  <c r="AJ36" i="1"/>
  <c r="AJ34" i="1"/>
  <c r="AK34" i="1"/>
  <c r="AK36" i="1"/>
  <c r="AO39" i="1" l="1"/>
  <c r="AO28" i="1"/>
  <c r="AP16" i="1"/>
  <c r="AQ15" i="1"/>
  <c r="AQ12" i="1"/>
  <c r="AR8" i="1"/>
  <c r="F7" i="25" s="1"/>
  <c r="AK63" i="1"/>
  <c r="AJ63" i="1"/>
  <c r="AL34" i="1"/>
  <c r="AL36" i="1"/>
  <c r="AJ37" i="1"/>
  <c r="AK37" i="1"/>
  <c r="AM32" i="1"/>
  <c r="AP39" i="1" l="1"/>
  <c r="AP28" i="1"/>
  <c r="AL37" i="1"/>
  <c r="AQ16" i="1"/>
  <c r="AL63" i="1"/>
  <c r="AN32" i="1"/>
  <c r="AM34" i="1"/>
  <c r="AM36" i="1"/>
  <c r="AQ39" i="1" l="1"/>
  <c r="AQ28" i="1"/>
  <c r="AM63" i="1"/>
  <c r="AN34" i="1"/>
  <c r="AN36" i="1"/>
  <c r="AS15" i="1"/>
  <c r="AS14" i="1"/>
  <c r="AS12" i="1"/>
  <c r="AS13" i="1"/>
  <c r="AR14" i="1"/>
  <c r="AR15" i="1"/>
  <c r="AR12" i="1"/>
  <c r="AR13" i="1"/>
  <c r="AR6" i="1"/>
  <c r="AM37" i="1"/>
  <c r="AO32" i="1"/>
  <c r="AN37" i="1" l="1"/>
  <c r="AS16" i="1"/>
  <c r="AN63" i="1"/>
  <c r="F6" i="25"/>
  <c r="F5" i="25" s="1"/>
  <c r="AR5" i="1"/>
  <c r="AP32" i="1"/>
  <c r="AP34" i="1" s="1"/>
  <c r="AT15" i="1"/>
  <c r="AT13" i="1"/>
  <c r="AT14" i="1"/>
  <c r="AT12" i="1"/>
  <c r="F9" i="25"/>
  <c r="AR28" i="1"/>
  <c r="AO34" i="1"/>
  <c r="AO36" i="1"/>
  <c r="AS39" i="1" l="1"/>
  <c r="AS28" i="1"/>
  <c r="BE8" i="1"/>
  <c r="G7" i="25" s="1"/>
  <c r="AT16" i="1"/>
  <c r="F8" i="25"/>
  <c r="F10" i="25" s="1"/>
  <c r="AO63" i="1"/>
  <c r="AR16" i="1"/>
  <c r="F12" i="25"/>
  <c r="AU13" i="1"/>
  <c r="AU12" i="1"/>
  <c r="AU15" i="1"/>
  <c r="AU14" i="1"/>
  <c r="AP36" i="1"/>
  <c r="AO37" i="1"/>
  <c r="AT39" i="1" l="1"/>
  <c r="AT28" i="1"/>
  <c r="BF13" i="1"/>
  <c r="BF15" i="1"/>
  <c r="BF12" i="1"/>
  <c r="BF14" i="1"/>
  <c r="AU16" i="1"/>
  <c r="AR17" i="1"/>
  <c r="AP63" i="1"/>
  <c r="AV14" i="1"/>
  <c r="AV12" i="1"/>
  <c r="AV13" i="1"/>
  <c r="AV15" i="1"/>
  <c r="AP37" i="1"/>
  <c r="AQ32" i="1"/>
  <c r="AR32" i="1" s="1"/>
  <c r="AS17" i="1"/>
  <c r="AU39" i="1" l="1"/>
  <c r="AU28" i="1"/>
  <c r="BF16" i="1"/>
  <c r="BG12" i="1"/>
  <c r="BG14" i="1"/>
  <c r="BG13" i="1"/>
  <c r="BG15" i="1"/>
  <c r="AV16" i="1"/>
  <c r="F11" i="25"/>
  <c r="F14" i="25" s="1"/>
  <c r="F15" i="25" s="1"/>
  <c r="AR33" i="1"/>
  <c r="AW14" i="1"/>
  <c r="AW12" i="1"/>
  <c r="AW15" i="1"/>
  <c r="AW13" i="1"/>
  <c r="AT32" i="1"/>
  <c r="AT17" i="1"/>
  <c r="AQ34" i="1"/>
  <c r="AQ36" i="1"/>
  <c r="AS32" i="1"/>
  <c r="AS33" i="1" s="1"/>
  <c r="BF39" i="1" l="1"/>
  <c r="BF28" i="1"/>
  <c r="AV39" i="1"/>
  <c r="AV28" i="1"/>
  <c r="AR36" i="1"/>
  <c r="D40" i="25" s="1"/>
  <c r="AR39" i="1"/>
  <c r="H86" i="17" s="1"/>
  <c r="BG16" i="1"/>
  <c r="BH14" i="1"/>
  <c r="BH15" i="1"/>
  <c r="BH12" i="1"/>
  <c r="BH13" i="1"/>
  <c r="AW16" i="1"/>
  <c r="AQ63" i="1"/>
  <c r="AT34" i="1"/>
  <c r="AT33" i="1"/>
  <c r="AX14" i="1"/>
  <c r="AX12" i="1"/>
  <c r="AX15" i="1"/>
  <c r="AX13" i="1"/>
  <c r="AT36" i="1"/>
  <c r="AR34" i="1"/>
  <c r="AQ37" i="1"/>
  <c r="AU17" i="1"/>
  <c r="AS34" i="1"/>
  <c r="AS36" i="1"/>
  <c r="BG39" i="1" l="1"/>
  <c r="BG28" i="1"/>
  <c r="AW39" i="1"/>
  <c r="AW28" i="1"/>
  <c r="F16" i="25"/>
  <c r="D41" i="25"/>
  <c r="D42" i="25" s="1"/>
  <c r="AR37" i="1"/>
  <c r="BH16" i="1"/>
  <c r="BI13" i="1"/>
  <c r="BI15" i="1"/>
  <c r="BI12" i="1"/>
  <c r="BI14" i="1"/>
  <c r="L6" i="24"/>
  <c r="AQ68" i="1"/>
  <c r="CR7" i="1"/>
  <c r="AX16" i="1"/>
  <c r="AT63" i="1"/>
  <c r="AS63" i="1"/>
  <c r="AV17" i="1"/>
  <c r="AV32" i="1"/>
  <c r="AY12" i="1"/>
  <c r="AY15" i="1"/>
  <c r="AY13" i="1"/>
  <c r="AY14" i="1"/>
  <c r="AT37" i="1"/>
  <c r="AU32" i="1"/>
  <c r="AU33" i="1" s="1"/>
  <c r="AS37" i="1"/>
  <c r="BH39" i="1" l="1"/>
  <c r="BH28" i="1"/>
  <c r="AX39" i="1"/>
  <c r="AX28" i="1"/>
  <c r="BI16" i="1"/>
  <c r="BJ12" i="1"/>
  <c r="BJ14" i="1"/>
  <c r="BJ15" i="1"/>
  <c r="BJ13" i="1"/>
  <c r="AY16" i="1"/>
  <c r="AW17" i="1"/>
  <c r="AW32" i="1"/>
  <c r="AV34" i="1"/>
  <c r="AV33" i="1"/>
  <c r="AZ15" i="1"/>
  <c r="AZ13" i="1"/>
  <c r="AZ14" i="1"/>
  <c r="AZ12" i="1"/>
  <c r="AV36" i="1"/>
  <c r="AU34" i="1"/>
  <c r="AU36" i="1"/>
  <c r="BI39" i="1" l="1"/>
  <c r="BI28" i="1"/>
  <c r="AY39" i="1"/>
  <c r="AY28" i="1"/>
  <c r="BJ16" i="1"/>
  <c r="BK14" i="1"/>
  <c r="BK15" i="1"/>
  <c r="BK12" i="1"/>
  <c r="BK13" i="1"/>
  <c r="AZ16" i="1"/>
  <c r="AU63" i="1"/>
  <c r="AV63" i="1"/>
  <c r="AX17" i="1"/>
  <c r="AX32" i="1"/>
  <c r="AX33" i="1" s="1"/>
  <c r="AW34" i="1"/>
  <c r="AW33" i="1"/>
  <c r="BA15" i="1"/>
  <c r="BA13" i="1"/>
  <c r="BA14" i="1"/>
  <c r="BA12" i="1"/>
  <c r="AW36" i="1"/>
  <c r="AV37" i="1"/>
  <c r="AU37" i="1"/>
  <c r="BJ39" i="1" l="1"/>
  <c r="BJ28" i="1"/>
  <c r="AZ39" i="1"/>
  <c r="AZ28" i="1"/>
  <c r="BK16" i="1"/>
  <c r="BL12" i="1"/>
  <c r="BL14" i="1"/>
  <c r="BL15" i="1"/>
  <c r="BL13" i="1"/>
  <c r="BA16" i="1"/>
  <c r="AW63" i="1"/>
  <c r="BB15" i="1"/>
  <c r="BB13" i="1"/>
  <c r="BB12" i="1"/>
  <c r="BB14" i="1"/>
  <c r="AW37" i="1"/>
  <c r="AY32" i="1"/>
  <c r="AY17" i="1"/>
  <c r="AX34" i="1"/>
  <c r="AX36" i="1"/>
  <c r="BK39" i="1" l="1"/>
  <c r="BK28" i="1"/>
  <c r="BA39" i="1"/>
  <c r="BA28" i="1"/>
  <c r="BL16" i="1"/>
  <c r="BM14" i="1"/>
  <c r="BM12" i="1"/>
  <c r="BM15" i="1"/>
  <c r="BM13" i="1"/>
  <c r="BB16" i="1"/>
  <c r="AX63" i="1"/>
  <c r="AZ32" i="1"/>
  <c r="AZ33" i="1" s="1"/>
  <c r="AY34" i="1"/>
  <c r="AY33" i="1"/>
  <c r="BC15" i="1"/>
  <c r="BC13" i="1"/>
  <c r="BC14" i="1"/>
  <c r="BC12" i="1"/>
  <c r="AY36" i="1"/>
  <c r="AZ17" i="1"/>
  <c r="AX37" i="1"/>
  <c r="BL39" i="1" l="1"/>
  <c r="BL28" i="1"/>
  <c r="BB39" i="1"/>
  <c r="BB28" i="1"/>
  <c r="BM16" i="1"/>
  <c r="BN13" i="1"/>
  <c r="BN14" i="1"/>
  <c r="BN15" i="1"/>
  <c r="BN12" i="1"/>
  <c r="BC16" i="1"/>
  <c r="AY63" i="1"/>
  <c r="BA17" i="1"/>
  <c r="BA32" i="1"/>
  <c r="BD14" i="1"/>
  <c r="BD12" i="1"/>
  <c r="BD15" i="1"/>
  <c r="BD13" i="1"/>
  <c r="AY37" i="1"/>
  <c r="AZ34" i="1"/>
  <c r="AZ36" i="1"/>
  <c r="BM39" i="1" l="1"/>
  <c r="BM28" i="1"/>
  <c r="BC39" i="1"/>
  <c r="BC28" i="1"/>
  <c r="BN16" i="1"/>
  <c r="BO14" i="1"/>
  <c r="BO12" i="1"/>
  <c r="BO13" i="1"/>
  <c r="BO15" i="1"/>
  <c r="BD16" i="1"/>
  <c r="AZ63" i="1"/>
  <c r="BA34" i="1"/>
  <c r="BA33" i="1"/>
  <c r="BE14" i="1"/>
  <c r="BE12" i="1"/>
  <c r="BE15" i="1"/>
  <c r="BE13" i="1"/>
  <c r="BA36" i="1"/>
  <c r="BB17" i="1"/>
  <c r="BE6" i="1"/>
  <c r="BB32" i="1"/>
  <c r="BB33" i="1" s="1"/>
  <c r="AZ37" i="1"/>
  <c r="BN39" i="1" l="1"/>
  <c r="BN28" i="1"/>
  <c r="BD39" i="1"/>
  <c r="BD28" i="1"/>
  <c r="BO16" i="1"/>
  <c r="BP13" i="1"/>
  <c r="BP15" i="1"/>
  <c r="BP12" i="1"/>
  <c r="BP14" i="1"/>
  <c r="BA63" i="1"/>
  <c r="G6" i="25"/>
  <c r="BE5" i="1"/>
  <c r="BC32" i="1"/>
  <c r="G9" i="25"/>
  <c r="BA37" i="1"/>
  <c r="BC17" i="1"/>
  <c r="BB34" i="1"/>
  <c r="BB36" i="1"/>
  <c r="BO39" i="1" l="1"/>
  <c r="BO28" i="1"/>
  <c r="BQ14" i="1"/>
  <c r="BQ13" i="1"/>
  <c r="BQ15" i="1"/>
  <c r="BP16" i="1"/>
  <c r="G8" i="25"/>
  <c r="G10" i="25" s="1"/>
  <c r="G5" i="25"/>
  <c r="BB63" i="1"/>
  <c r="BE16" i="1"/>
  <c r="BE17" i="1" s="1"/>
  <c r="BD32" i="1"/>
  <c r="BD33" i="1" s="1"/>
  <c r="BC34" i="1"/>
  <c r="BC33" i="1"/>
  <c r="BC36" i="1"/>
  <c r="BD17" i="1"/>
  <c r="BB37" i="1"/>
  <c r="BP39" i="1" l="1"/>
  <c r="BP28" i="1"/>
  <c r="BQ12" i="1"/>
  <c r="BQ16" i="1" s="1"/>
  <c r="BS15" i="1"/>
  <c r="BS13" i="1"/>
  <c r="BS12" i="1"/>
  <c r="BS14" i="1"/>
  <c r="BR8" i="1"/>
  <c r="H7" i="25" s="1"/>
  <c r="BC63" i="1"/>
  <c r="BC37" i="1"/>
  <c r="BE28" i="1"/>
  <c r="G12" i="25" s="1"/>
  <c r="BD34" i="1"/>
  <c r="BE32" i="1"/>
  <c r="BE33" i="1" s="1"/>
  <c r="BD36" i="1"/>
  <c r="BF17" i="1"/>
  <c r="BQ39" i="1" l="1"/>
  <c r="BQ28" i="1"/>
  <c r="BE39" i="1"/>
  <c r="BD63" i="1"/>
  <c r="BE63" i="1" s="1"/>
  <c r="BS16" i="1"/>
  <c r="BT12" i="1"/>
  <c r="BT13" i="1"/>
  <c r="BT14" i="1"/>
  <c r="BT15" i="1"/>
  <c r="I6" i="24"/>
  <c r="BG32" i="1"/>
  <c r="BE34" i="1"/>
  <c r="G11" i="25"/>
  <c r="G14" i="25" s="1"/>
  <c r="G15" i="25" s="1"/>
  <c r="BG17" i="1"/>
  <c r="BD37" i="1"/>
  <c r="BE36" i="1"/>
  <c r="BF32" i="1"/>
  <c r="BS39" i="1" l="1"/>
  <c r="BS28" i="1"/>
  <c r="I86" i="17"/>
  <c r="G16" i="25"/>
  <c r="BT16" i="1"/>
  <c r="BU12" i="1"/>
  <c r="BU15" i="1"/>
  <c r="BU13" i="1"/>
  <c r="BU14" i="1"/>
  <c r="BG33" i="1"/>
  <c r="BG34" i="1"/>
  <c r="BG36" i="1"/>
  <c r="BF33" i="1"/>
  <c r="BF36" i="1"/>
  <c r="BE37" i="1"/>
  <c r="BH17" i="1"/>
  <c r="BF34" i="1"/>
  <c r="BT39" i="1" l="1"/>
  <c r="BT28" i="1"/>
  <c r="BU16" i="1"/>
  <c r="BV13" i="1"/>
  <c r="BV12" i="1"/>
  <c r="BV15" i="1"/>
  <c r="BV14" i="1"/>
  <c r="DE7" i="1"/>
  <c r="BG63" i="1"/>
  <c r="BF63" i="1"/>
  <c r="BI32" i="1"/>
  <c r="BG37" i="1"/>
  <c r="BI17" i="1"/>
  <c r="BH32" i="1"/>
  <c r="BH33" i="1" s="1"/>
  <c r="BF37" i="1"/>
  <c r="BU39" i="1" l="1"/>
  <c r="BU28" i="1"/>
  <c r="BV16" i="1"/>
  <c r="BW13" i="1"/>
  <c r="BW14" i="1"/>
  <c r="BW12" i="1"/>
  <c r="BW15" i="1"/>
  <c r="BJ32" i="1"/>
  <c r="BI34" i="1"/>
  <c r="BI33" i="1"/>
  <c r="BI36" i="1"/>
  <c r="BJ17" i="1"/>
  <c r="BH34" i="1"/>
  <c r="BH36" i="1"/>
  <c r="BV39" i="1" l="1"/>
  <c r="BV28" i="1"/>
  <c r="BW16" i="1"/>
  <c r="BX12" i="1"/>
  <c r="BX15" i="1"/>
  <c r="BX14" i="1"/>
  <c r="BX13" i="1"/>
  <c r="BH63" i="1"/>
  <c r="BI63" i="1"/>
  <c r="BJ36" i="1"/>
  <c r="BJ33" i="1"/>
  <c r="BJ34" i="1"/>
  <c r="BI37" i="1"/>
  <c r="BK17" i="1"/>
  <c r="BH37" i="1"/>
  <c r="BK32" i="1"/>
  <c r="BK33" i="1" s="1"/>
  <c r="BW39" i="1" l="1"/>
  <c r="BW28" i="1"/>
  <c r="BX16" i="1"/>
  <c r="BY13" i="1"/>
  <c r="BY12" i="1"/>
  <c r="BY15" i="1"/>
  <c r="BY14" i="1"/>
  <c r="BJ63" i="1"/>
  <c r="BL32" i="1"/>
  <c r="BJ37" i="1"/>
  <c r="BL17" i="1"/>
  <c r="BK34" i="1"/>
  <c r="BK36" i="1"/>
  <c r="BX39" i="1" l="1"/>
  <c r="BX28" i="1"/>
  <c r="BY16" i="1"/>
  <c r="BZ13" i="1"/>
  <c r="BZ14" i="1"/>
  <c r="BK63" i="1"/>
  <c r="BM17" i="1"/>
  <c r="BM32" i="1"/>
  <c r="BL34" i="1"/>
  <c r="BL33" i="1"/>
  <c r="BL36" i="1"/>
  <c r="BK37" i="1"/>
  <c r="BY39" i="1" l="1"/>
  <c r="BY28" i="1"/>
  <c r="BZ15" i="1"/>
  <c r="BZ12" i="1"/>
  <c r="CA13" i="1"/>
  <c r="CA15" i="1"/>
  <c r="CA14" i="1"/>
  <c r="CA12" i="1"/>
  <c r="BL63" i="1"/>
  <c r="BN17" i="1"/>
  <c r="BN32" i="1"/>
  <c r="BN33" i="1" s="1"/>
  <c r="BM34" i="1"/>
  <c r="BM33" i="1"/>
  <c r="BL37" i="1"/>
  <c r="BM36" i="1"/>
  <c r="BZ16" i="1" l="1"/>
  <c r="CA16" i="1"/>
  <c r="CB12" i="1"/>
  <c r="BM63" i="1"/>
  <c r="BO32" i="1"/>
  <c r="BR13" i="1"/>
  <c r="BM37" i="1"/>
  <c r="BO17" i="1"/>
  <c r="BN34" i="1"/>
  <c r="BN36" i="1"/>
  <c r="BR14" i="1"/>
  <c r="BR12" i="1"/>
  <c r="BR15" i="1"/>
  <c r="BR6" i="1"/>
  <c r="CA39" i="1" l="1"/>
  <c r="CA28" i="1"/>
  <c r="BZ39" i="1"/>
  <c r="BZ28" i="1"/>
  <c r="CB15" i="1"/>
  <c r="CB13" i="1"/>
  <c r="CB14" i="1"/>
  <c r="CC14" i="1"/>
  <c r="CC13" i="1"/>
  <c r="CC12" i="1"/>
  <c r="BN63" i="1"/>
  <c r="H6" i="25"/>
  <c r="H5" i="25" s="1"/>
  <c r="BR5" i="1"/>
  <c r="BO33" i="1"/>
  <c r="BO36" i="1"/>
  <c r="BO34" i="1"/>
  <c r="BP32" i="1"/>
  <c r="H9" i="25"/>
  <c r="BP17" i="1"/>
  <c r="BN37" i="1"/>
  <c r="CB16" i="1" l="1"/>
  <c r="CC15" i="1"/>
  <c r="CC16" i="1" s="1"/>
  <c r="CD15" i="1"/>
  <c r="CD13" i="1"/>
  <c r="CD14" i="1"/>
  <c r="CD12" i="1"/>
  <c r="H8" i="25"/>
  <c r="H10" i="25" s="1"/>
  <c r="BO37" i="1"/>
  <c r="BO63" i="1"/>
  <c r="BR28" i="1"/>
  <c r="H12" i="25" s="1"/>
  <c r="BR16" i="1"/>
  <c r="BP34" i="1"/>
  <c r="BP33" i="1"/>
  <c r="BP36" i="1"/>
  <c r="BQ17" i="1"/>
  <c r="CC39" i="1" l="1"/>
  <c r="CC28" i="1"/>
  <c r="CB39" i="1"/>
  <c r="CB28" i="1"/>
  <c r="CD16" i="1"/>
  <c r="CF13" i="1"/>
  <c r="CF12" i="1"/>
  <c r="CF15" i="1"/>
  <c r="CF14" i="1"/>
  <c r="CE8" i="1"/>
  <c r="I7" i="25" s="1"/>
  <c r="BP63" i="1"/>
  <c r="BP37" i="1"/>
  <c r="BQ32" i="1"/>
  <c r="BQ33" i="1" s="1"/>
  <c r="BS17" i="1"/>
  <c r="BR17" i="1"/>
  <c r="CD39" i="1" l="1"/>
  <c r="CD28" i="1"/>
  <c r="CF16" i="1"/>
  <c r="CG12" i="1"/>
  <c r="CG13" i="1"/>
  <c r="CG14" i="1"/>
  <c r="CG15" i="1"/>
  <c r="BT17" i="1"/>
  <c r="BT32" i="1"/>
  <c r="BS32" i="1"/>
  <c r="BS33" i="1" s="1"/>
  <c r="BQ34" i="1"/>
  <c r="BR32" i="1"/>
  <c r="BQ36" i="1"/>
  <c r="CF39" i="1" l="1"/>
  <c r="CF28" i="1"/>
  <c r="BR39" i="1"/>
  <c r="BQ63" i="1"/>
  <c r="BR63" i="1" s="1"/>
  <c r="J15" i="17" s="1"/>
  <c r="CG16" i="1"/>
  <c r="CH12" i="1"/>
  <c r="CH15" i="1"/>
  <c r="CH13" i="1"/>
  <c r="CH14" i="1"/>
  <c r="BR33" i="1"/>
  <c r="BR34" i="1"/>
  <c r="BU32" i="1"/>
  <c r="BT34" i="1"/>
  <c r="BT33" i="1"/>
  <c r="H11" i="25"/>
  <c r="H14" i="25" s="1"/>
  <c r="H15" i="25" s="1"/>
  <c r="BU17" i="1"/>
  <c r="BT36" i="1"/>
  <c r="BQ37" i="1"/>
  <c r="BR36" i="1"/>
  <c r="BS34" i="1"/>
  <c r="BS36" i="1"/>
  <c r="CG39" i="1" l="1"/>
  <c r="CG28" i="1"/>
  <c r="J86" i="17"/>
  <c r="H16" i="25"/>
  <c r="CH16" i="1"/>
  <c r="CI13" i="1"/>
  <c r="CI15" i="1"/>
  <c r="CI12" i="1"/>
  <c r="CI14" i="1"/>
  <c r="DR7" i="1"/>
  <c r="BT63" i="1"/>
  <c r="BS63" i="1"/>
  <c r="BU36" i="1"/>
  <c r="BU33" i="1"/>
  <c r="BU34" i="1"/>
  <c r="BV17" i="1"/>
  <c r="BV32" i="1"/>
  <c r="BT37" i="1"/>
  <c r="BS37" i="1"/>
  <c r="BR37" i="1"/>
  <c r="CH39" i="1" l="1"/>
  <c r="CH28" i="1"/>
  <c r="BU37" i="1"/>
  <c r="CI16" i="1"/>
  <c r="CJ15" i="1"/>
  <c r="CJ14" i="1"/>
  <c r="CJ13" i="1"/>
  <c r="CJ12" i="1"/>
  <c r="BU63" i="1"/>
  <c r="BV34" i="1"/>
  <c r="BV33" i="1"/>
  <c r="BV36" i="1"/>
  <c r="BW17" i="1"/>
  <c r="BW32" i="1"/>
  <c r="BW33" i="1" s="1"/>
  <c r="CI39" i="1" l="1"/>
  <c r="CI28" i="1"/>
  <c r="CJ16" i="1"/>
  <c r="CK13" i="1"/>
  <c r="CK12" i="1"/>
  <c r="CK14" i="1"/>
  <c r="CK15" i="1"/>
  <c r="BV63" i="1"/>
  <c r="BX32" i="1"/>
  <c r="BV37" i="1"/>
  <c r="BX17" i="1"/>
  <c r="BW34" i="1"/>
  <c r="BW36" i="1"/>
  <c r="CJ39" i="1" l="1"/>
  <c r="CJ28" i="1"/>
  <c r="CK16" i="1"/>
  <c r="CL13" i="1"/>
  <c r="BW63" i="1"/>
  <c r="BY32" i="1"/>
  <c r="BX34" i="1"/>
  <c r="BX33" i="1"/>
  <c r="BX36" i="1"/>
  <c r="BY17" i="1"/>
  <c r="BW37" i="1"/>
  <c r="CK39" i="1" l="1"/>
  <c r="CK28" i="1"/>
  <c r="CL15" i="1"/>
  <c r="CL14" i="1"/>
  <c r="CL12" i="1"/>
  <c r="CM14" i="1"/>
  <c r="BX63" i="1"/>
  <c r="BZ17" i="1"/>
  <c r="BZ32" i="1"/>
  <c r="BZ33" i="1" s="1"/>
  <c r="BY34" i="1"/>
  <c r="BY33" i="1"/>
  <c r="BX37" i="1"/>
  <c r="BY36" i="1"/>
  <c r="CL16" i="1" l="1"/>
  <c r="CM12" i="1"/>
  <c r="CM13" i="1"/>
  <c r="CM15" i="1"/>
  <c r="CN12" i="1"/>
  <c r="CN14" i="1"/>
  <c r="BY63" i="1"/>
  <c r="CA32" i="1"/>
  <c r="BY37" i="1"/>
  <c r="CA17" i="1"/>
  <c r="BZ34" i="1"/>
  <c r="BZ36" i="1"/>
  <c r="CL39" i="1" l="1"/>
  <c r="CL28" i="1"/>
  <c r="CM16" i="1"/>
  <c r="CN13" i="1"/>
  <c r="CN15" i="1"/>
  <c r="CO14" i="1"/>
  <c r="CO15" i="1"/>
  <c r="CO12" i="1"/>
  <c r="CO13" i="1"/>
  <c r="BZ63" i="1"/>
  <c r="CB32" i="1"/>
  <c r="CA34" i="1"/>
  <c r="CA33" i="1"/>
  <c r="CB17" i="1"/>
  <c r="CA36" i="1"/>
  <c r="BZ37" i="1"/>
  <c r="CE15" i="1"/>
  <c r="CE14" i="1"/>
  <c r="CE13" i="1"/>
  <c r="CE12" i="1"/>
  <c r="CE6" i="1"/>
  <c r="CM39" i="1" l="1"/>
  <c r="CM28" i="1"/>
  <c r="CN16" i="1"/>
  <c r="CO16" i="1"/>
  <c r="CP15" i="1"/>
  <c r="CP12" i="1"/>
  <c r="CP13" i="1"/>
  <c r="CP14" i="1"/>
  <c r="CA63" i="1"/>
  <c r="I6" i="25"/>
  <c r="I8" i="25" s="1"/>
  <c r="CE5" i="1"/>
  <c r="CB34" i="1"/>
  <c r="CB36" i="1"/>
  <c r="CB33" i="1"/>
  <c r="CC32" i="1"/>
  <c r="I9" i="25"/>
  <c r="CA37" i="1"/>
  <c r="CC17" i="1"/>
  <c r="CO39" i="1" l="1"/>
  <c r="CO28" i="1"/>
  <c r="CN39" i="1"/>
  <c r="CN28" i="1"/>
  <c r="CP16" i="1"/>
  <c r="CQ13" i="1"/>
  <c r="CQ12" i="1"/>
  <c r="CQ14" i="1"/>
  <c r="I10" i="25"/>
  <c r="CB63" i="1"/>
  <c r="CB37" i="1"/>
  <c r="CC34" i="1"/>
  <c r="CC33" i="1"/>
  <c r="CC36" i="1"/>
  <c r="CD17" i="1"/>
  <c r="CE16" i="1"/>
  <c r="CP39" i="1" l="1"/>
  <c r="CP28" i="1"/>
  <c r="CC37" i="1"/>
  <c r="CQ15" i="1"/>
  <c r="CQ16" i="1" s="1"/>
  <c r="CS13" i="1"/>
  <c r="CS14" i="1"/>
  <c r="CS12" i="1"/>
  <c r="CS15" i="1"/>
  <c r="CR8" i="1"/>
  <c r="J7" i="25" s="1"/>
  <c r="CC63" i="1"/>
  <c r="CF32" i="1"/>
  <c r="CF33" i="1" s="1"/>
  <c r="CF17" i="1"/>
  <c r="CE17" i="1"/>
  <c r="CD32" i="1"/>
  <c r="CD33" i="1" s="1"/>
  <c r="CE28" i="1"/>
  <c r="I12" i="25" s="1"/>
  <c r="CQ39" i="1" l="1"/>
  <c r="CQ28" i="1"/>
  <c r="CS16" i="1"/>
  <c r="CT12" i="1"/>
  <c r="CT14" i="1"/>
  <c r="CT13" i="1"/>
  <c r="CT15" i="1"/>
  <c r="CD34" i="1"/>
  <c r="CE32" i="1"/>
  <c r="CE33" i="1" s="1"/>
  <c r="CD36" i="1"/>
  <c r="CG17" i="1"/>
  <c r="CF34" i="1"/>
  <c r="CF36" i="1"/>
  <c r="CS39" i="1" l="1"/>
  <c r="CS28" i="1"/>
  <c r="CE39" i="1"/>
  <c r="I16" i="25" s="1"/>
  <c r="CD63" i="1"/>
  <c r="CT16" i="1"/>
  <c r="CU12" i="1"/>
  <c r="CU13" i="1"/>
  <c r="CU14" i="1"/>
  <c r="CU15" i="1"/>
  <c r="CE34" i="1"/>
  <c r="I11" i="25"/>
  <c r="I14" i="25" s="1"/>
  <c r="I15" i="25" s="1"/>
  <c r="CH32" i="1"/>
  <c r="CH17" i="1"/>
  <c r="CF37" i="1"/>
  <c r="CD37" i="1"/>
  <c r="CE36" i="1"/>
  <c r="CG32" i="1"/>
  <c r="CG33" i="1" s="1"/>
  <c r="CT39" i="1" l="1"/>
  <c r="CT28" i="1"/>
  <c r="CU16" i="1"/>
  <c r="CV12" i="1"/>
  <c r="CV13" i="1"/>
  <c r="CV14" i="1"/>
  <c r="CV15" i="1"/>
  <c r="EE7" i="1"/>
  <c r="CF63" i="1"/>
  <c r="CI32" i="1"/>
  <c r="CH34" i="1"/>
  <c r="CH33" i="1"/>
  <c r="CH36" i="1"/>
  <c r="CI17" i="1"/>
  <c r="CG34" i="1"/>
  <c r="CG36" i="1"/>
  <c r="CE37" i="1"/>
  <c r="CU39" i="1" l="1"/>
  <c r="CU28" i="1"/>
  <c r="CV16" i="1"/>
  <c r="CW13" i="1"/>
  <c r="CW14" i="1"/>
  <c r="CW15" i="1"/>
  <c r="CW12" i="1"/>
  <c r="CH63" i="1"/>
  <c r="CG63" i="1"/>
  <c r="CJ32" i="1"/>
  <c r="CJ33" i="1" s="1"/>
  <c r="CI34" i="1"/>
  <c r="CI33" i="1"/>
  <c r="CI36" i="1"/>
  <c r="CH37" i="1"/>
  <c r="CJ17" i="1"/>
  <c r="CG37" i="1"/>
  <c r="CV39" i="1" l="1"/>
  <c r="CV28" i="1"/>
  <c r="CW16" i="1"/>
  <c r="CX14" i="1"/>
  <c r="CX12" i="1"/>
  <c r="CX15" i="1"/>
  <c r="CX13" i="1"/>
  <c r="CI63" i="1"/>
  <c r="CK32" i="1"/>
  <c r="CI37" i="1"/>
  <c r="CK17" i="1"/>
  <c r="CJ34" i="1"/>
  <c r="CJ36" i="1"/>
  <c r="CW39" i="1" l="1"/>
  <c r="CW28" i="1"/>
  <c r="CX16" i="1"/>
  <c r="CY15" i="1"/>
  <c r="CY12" i="1"/>
  <c r="CY14" i="1"/>
  <c r="CY13" i="1"/>
  <c r="CJ63" i="1"/>
  <c r="CL32" i="1"/>
  <c r="CK34" i="1"/>
  <c r="CK33" i="1"/>
  <c r="CL17" i="1"/>
  <c r="CK36" i="1"/>
  <c r="CJ37" i="1"/>
  <c r="CX39" i="1" l="1"/>
  <c r="CX28" i="1"/>
  <c r="CY16" i="1"/>
  <c r="CZ15" i="1"/>
  <c r="CK63" i="1"/>
  <c r="CL36" i="1"/>
  <c r="CL34" i="1"/>
  <c r="CL33" i="1"/>
  <c r="CM17" i="1"/>
  <c r="CM32" i="1"/>
  <c r="CM33" i="1" s="1"/>
  <c r="CK37" i="1"/>
  <c r="CY39" i="1" l="1"/>
  <c r="CY28" i="1"/>
  <c r="CZ14" i="1"/>
  <c r="CZ13" i="1"/>
  <c r="CZ12" i="1"/>
  <c r="DA12" i="1"/>
  <c r="DA15" i="1"/>
  <c r="DA14" i="1"/>
  <c r="CL37" i="1"/>
  <c r="CL63" i="1"/>
  <c r="CN32" i="1"/>
  <c r="CN17" i="1"/>
  <c r="CM34" i="1"/>
  <c r="CM36" i="1"/>
  <c r="CZ16" i="1" l="1"/>
  <c r="DB12" i="1"/>
  <c r="DA13" i="1"/>
  <c r="DA16" i="1" s="1"/>
  <c r="CM63" i="1"/>
  <c r="CO32" i="1"/>
  <c r="CN34" i="1"/>
  <c r="CN33" i="1"/>
  <c r="CR13" i="1"/>
  <c r="CO17" i="1"/>
  <c r="CN36" i="1"/>
  <c r="CR14" i="1"/>
  <c r="CR12" i="1"/>
  <c r="CR15" i="1"/>
  <c r="CR6" i="1"/>
  <c r="CM37" i="1"/>
  <c r="DA39" i="1" l="1"/>
  <c r="DA28" i="1"/>
  <c r="CZ39" i="1"/>
  <c r="CZ28" i="1"/>
  <c r="DB14" i="1"/>
  <c r="DB15" i="1"/>
  <c r="DB13" i="1"/>
  <c r="DC13" i="1"/>
  <c r="DC14" i="1"/>
  <c r="CN63" i="1"/>
  <c r="J6" i="25"/>
  <c r="J8" i="25" s="1"/>
  <c r="CR5" i="1"/>
  <c r="CP17" i="1"/>
  <c r="CP32" i="1"/>
  <c r="CO34" i="1"/>
  <c r="CO33" i="1"/>
  <c r="J9" i="25"/>
  <c r="CO36" i="1"/>
  <c r="CN37" i="1"/>
  <c r="DC12" i="1" l="1"/>
  <c r="DB16" i="1"/>
  <c r="DC15" i="1"/>
  <c r="DD13" i="1"/>
  <c r="J10" i="25"/>
  <c r="CO63" i="1"/>
  <c r="CP34" i="1"/>
  <c r="CP33" i="1"/>
  <c r="CP36" i="1"/>
  <c r="CO37" i="1"/>
  <c r="CQ17" i="1"/>
  <c r="CR16" i="1"/>
  <c r="DB39" i="1" l="1"/>
  <c r="DB28" i="1"/>
  <c r="DC16" i="1"/>
  <c r="DD15" i="1"/>
  <c r="DD14" i="1"/>
  <c r="DD12" i="1"/>
  <c r="DF15" i="1"/>
  <c r="DF14" i="1"/>
  <c r="DE8" i="1"/>
  <c r="K7" i="25" s="1"/>
  <c r="CP63" i="1"/>
  <c r="CP37" i="1"/>
  <c r="CS17" i="1"/>
  <c r="CR17" i="1"/>
  <c r="CQ32" i="1"/>
  <c r="CQ33" i="1" s="1"/>
  <c r="CR28" i="1"/>
  <c r="J12" i="25" s="1"/>
  <c r="DC39" i="1" l="1"/>
  <c r="DC28" i="1"/>
  <c r="DD16" i="1"/>
  <c r="DF13" i="1"/>
  <c r="DF12" i="1"/>
  <c r="CT32" i="1"/>
  <c r="CT17" i="1"/>
  <c r="CQ34" i="1"/>
  <c r="CR32" i="1"/>
  <c r="CR33" i="1" s="1"/>
  <c r="CQ36" i="1"/>
  <c r="CS32" i="1"/>
  <c r="CS33" i="1" s="1"/>
  <c r="DD39" i="1" l="1"/>
  <c r="DD28" i="1"/>
  <c r="CR39" i="1"/>
  <c r="J16" i="25" s="1"/>
  <c r="CQ63" i="1"/>
  <c r="DF16" i="1"/>
  <c r="DG12" i="1"/>
  <c r="DG14" i="1"/>
  <c r="DG13" i="1"/>
  <c r="DG15" i="1"/>
  <c r="DH14" i="1"/>
  <c r="DH12" i="1"/>
  <c r="DH13" i="1"/>
  <c r="DH15" i="1"/>
  <c r="CT34" i="1"/>
  <c r="CT33" i="1"/>
  <c r="CR34" i="1"/>
  <c r="J11" i="25"/>
  <c r="J14" i="25" s="1"/>
  <c r="J15" i="25" s="1"/>
  <c r="CT36" i="1"/>
  <c r="CU17" i="1"/>
  <c r="CQ37" i="1"/>
  <c r="CR36" i="1"/>
  <c r="CS34" i="1"/>
  <c r="CS36" i="1"/>
  <c r="DF39" i="1" l="1"/>
  <c r="DF28" i="1"/>
  <c r="DH16" i="1"/>
  <c r="DG16" i="1"/>
  <c r="DI15" i="1"/>
  <c r="DI12" i="1"/>
  <c r="DI13" i="1"/>
  <c r="DI14" i="1"/>
  <c r="CS63" i="1"/>
  <c r="CT63" i="1"/>
  <c r="CV32" i="1"/>
  <c r="CT37" i="1"/>
  <c r="CV17" i="1"/>
  <c r="CU32" i="1"/>
  <c r="CU33" i="1" s="1"/>
  <c r="CR37" i="1"/>
  <c r="CS37" i="1"/>
  <c r="DG39" i="1" l="1"/>
  <c r="DG28" i="1"/>
  <c r="DH39" i="1"/>
  <c r="DH28" i="1"/>
  <c r="DI16" i="1"/>
  <c r="DJ15" i="1"/>
  <c r="DJ12" i="1"/>
  <c r="DJ13" i="1"/>
  <c r="DJ14" i="1"/>
  <c r="CV34" i="1"/>
  <c r="CV33" i="1"/>
  <c r="CV36" i="1"/>
  <c r="CW32" i="1"/>
  <c r="CW17" i="1"/>
  <c r="CU34" i="1"/>
  <c r="CU36" i="1"/>
  <c r="DI39" i="1" l="1"/>
  <c r="DI28" i="1"/>
  <c r="DJ16" i="1"/>
  <c r="DK14" i="1"/>
  <c r="DK12" i="1"/>
  <c r="DK15" i="1"/>
  <c r="DK13" i="1"/>
  <c r="CU63" i="1"/>
  <c r="CV63" i="1"/>
  <c r="CW36" i="1"/>
  <c r="CW34" i="1"/>
  <c r="CW33" i="1"/>
  <c r="CX17" i="1"/>
  <c r="CX32" i="1"/>
  <c r="CX33" i="1" s="1"/>
  <c r="CV37" i="1"/>
  <c r="CU37" i="1"/>
  <c r="DJ39" i="1" l="1"/>
  <c r="DJ28" i="1"/>
  <c r="CW37" i="1"/>
  <c r="DK16" i="1"/>
  <c r="DL12" i="1"/>
  <c r="DL15" i="1"/>
  <c r="CW63" i="1"/>
  <c r="CY32" i="1"/>
  <c r="CY17" i="1"/>
  <c r="CX34" i="1"/>
  <c r="CX36" i="1"/>
  <c r="DK39" i="1" l="1"/>
  <c r="DK28" i="1"/>
  <c r="DL13" i="1"/>
  <c r="DL14" i="1"/>
  <c r="DM12" i="1"/>
  <c r="DM15" i="1"/>
  <c r="CX63" i="1"/>
  <c r="CY33" i="1"/>
  <c r="CY34" i="1"/>
  <c r="CY36" i="1"/>
  <c r="CZ17" i="1"/>
  <c r="CX37" i="1"/>
  <c r="CZ32" i="1"/>
  <c r="CZ33" i="1" s="1"/>
  <c r="DM14" i="1" l="1"/>
  <c r="DL16" i="1"/>
  <c r="DM13" i="1"/>
  <c r="DN15" i="1"/>
  <c r="CY63" i="1"/>
  <c r="CY37" i="1"/>
  <c r="DA17" i="1"/>
  <c r="DA32" i="1"/>
  <c r="CZ34" i="1"/>
  <c r="CZ36" i="1"/>
  <c r="DL39" i="1" l="1"/>
  <c r="DL28" i="1"/>
  <c r="DM16" i="1"/>
  <c r="DN12" i="1"/>
  <c r="DN14" i="1"/>
  <c r="DN13" i="1"/>
  <c r="DO15" i="1"/>
  <c r="CZ63" i="1"/>
  <c r="DA34" i="1"/>
  <c r="DA33" i="1"/>
  <c r="DE12" i="1"/>
  <c r="DE15" i="1"/>
  <c r="DE13" i="1"/>
  <c r="DA36" i="1"/>
  <c r="DB17" i="1"/>
  <c r="CZ37" i="1"/>
  <c r="DE14" i="1"/>
  <c r="DE6" i="1"/>
  <c r="DB32" i="1"/>
  <c r="DB33" i="1" s="1"/>
  <c r="DM39" i="1" l="1"/>
  <c r="DM28" i="1"/>
  <c r="DO14" i="1"/>
  <c r="DN16" i="1"/>
  <c r="DO13" i="1"/>
  <c r="DO12" i="1"/>
  <c r="DP13" i="1"/>
  <c r="DA63" i="1"/>
  <c r="K6" i="25"/>
  <c r="K8" i="25" s="1"/>
  <c r="DE5" i="1"/>
  <c r="DC32" i="1"/>
  <c r="K9" i="25"/>
  <c r="DA37" i="1"/>
  <c r="DC17" i="1"/>
  <c r="DB34" i="1"/>
  <c r="DB36" i="1"/>
  <c r="DN39" i="1" l="1"/>
  <c r="DN28" i="1"/>
  <c r="DO16" i="1"/>
  <c r="DP12" i="1"/>
  <c r="DP15" i="1"/>
  <c r="DP14" i="1"/>
  <c r="DQ12" i="1"/>
  <c r="DQ14" i="1"/>
  <c r="DB63" i="1"/>
  <c r="K10" i="25"/>
  <c r="DC34" i="1"/>
  <c r="DC33" i="1"/>
  <c r="DC36" i="1"/>
  <c r="DD17" i="1"/>
  <c r="DE16" i="1"/>
  <c r="DB37" i="1"/>
  <c r="DO39" i="1" l="1"/>
  <c r="DO28" i="1"/>
  <c r="DP16" i="1"/>
  <c r="DQ13" i="1"/>
  <c r="DQ15" i="1"/>
  <c r="DS15" i="1"/>
  <c r="DR8" i="1"/>
  <c r="L7" i="25" s="1"/>
  <c r="DC63" i="1"/>
  <c r="DC37" i="1"/>
  <c r="DF17" i="1"/>
  <c r="DE17" i="1"/>
  <c r="DD32" i="1"/>
  <c r="DD33" i="1" s="1"/>
  <c r="DE28" i="1"/>
  <c r="K12" i="25" s="1"/>
  <c r="DP39" i="1" l="1"/>
  <c r="DP28" i="1"/>
  <c r="DS14" i="1"/>
  <c r="DS12" i="1"/>
  <c r="DQ16" i="1"/>
  <c r="DS13" i="1"/>
  <c r="DG32" i="1"/>
  <c r="DG17" i="1"/>
  <c r="DD34" i="1"/>
  <c r="DE32" i="1"/>
  <c r="DE33" i="1" s="1"/>
  <c r="DD36" i="1"/>
  <c r="DF32" i="1"/>
  <c r="DF33" i="1" s="1"/>
  <c r="DQ39" i="1" l="1"/>
  <c r="DQ28" i="1"/>
  <c r="DE39" i="1"/>
  <c r="K16" i="25" s="1"/>
  <c r="DD63" i="1"/>
  <c r="DS16" i="1"/>
  <c r="DT14" i="1"/>
  <c r="DT13" i="1"/>
  <c r="DT15" i="1"/>
  <c r="DT12" i="1"/>
  <c r="DU14" i="1"/>
  <c r="DU12" i="1"/>
  <c r="DU13" i="1"/>
  <c r="DU15" i="1"/>
  <c r="DG34" i="1"/>
  <c r="DG33" i="1"/>
  <c r="DG36" i="1"/>
  <c r="DE34" i="1"/>
  <c r="K11" i="25"/>
  <c r="K14" i="25" s="1"/>
  <c r="K15" i="25" s="1"/>
  <c r="DF34" i="1"/>
  <c r="DF36" i="1"/>
  <c r="DD37" i="1"/>
  <c r="DE36" i="1"/>
  <c r="DH17" i="1"/>
  <c r="DS39" i="1" l="1"/>
  <c r="DS28" i="1"/>
  <c r="DT16" i="1"/>
  <c r="DU16" i="1"/>
  <c r="DV13" i="1"/>
  <c r="DV15" i="1"/>
  <c r="DV14" i="1"/>
  <c r="DV12" i="1"/>
  <c r="DF63" i="1"/>
  <c r="DG37" i="1"/>
  <c r="DG63" i="1"/>
  <c r="DH32" i="1"/>
  <c r="DH33" i="1" s="1"/>
  <c r="DF37" i="1"/>
  <c r="DI17" i="1"/>
  <c r="DI32" i="1"/>
  <c r="DE37" i="1"/>
  <c r="DU39" i="1" l="1"/>
  <c r="DU28" i="1"/>
  <c r="DT39" i="1"/>
  <c r="DT28" i="1"/>
  <c r="DV16" i="1"/>
  <c r="DW15" i="1"/>
  <c r="DW13" i="1"/>
  <c r="DW12" i="1"/>
  <c r="DW14" i="1"/>
  <c r="DJ32" i="1"/>
  <c r="DI34" i="1"/>
  <c r="DI33" i="1"/>
  <c r="DJ17" i="1"/>
  <c r="DH34" i="1"/>
  <c r="DH36" i="1"/>
  <c r="DI36" i="1"/>
  <c r="DV39" i="1" l="1"/>
  <c r="DV28" i="1"/>
  <c r="DW16" i="1"/>
  <c r="DX12" i="1"/>
  <c r="DX15" i="1"/>
  <c r="DX13" i="1"/>
  <c r="DX14" i="1"/>
  <c r="DI63" i="1"/>
  <c r="DH63" i="1"/>
  <c r="DJ34" i="1"/>
  <c r="DJ33" i="1"/>
  <c r="DJ36" i="1"/>
  <c r="DK17" i="1"/>
  <c r="DH37" i="1"/>
  <c r="DI37" i="1"/>
  <c r="DK32" i="1"/>
  <c r="DK33" i="1" s="1"/>
  <c r="DW39" i="1" l="1"/>
  <c r="DW28" i="1"/>
  <c r="DX16" i="1"/>
  <c r="DY14" i="1"/>
  <c r="DJ63" i="1"/>
  <c r="DL32" i="1"/>
  <c r="DJ37" i="1"/>
  <c r="DL17" i="1"/>
  <c r="DK34" i="1"/>
  <c r="DK36" i="1"/>
  <c r="DX39" i="1" l="1"/>
  <c r="DX28" i="1"/>
  <c r="DY13" i="1"/>
  <c r="DY12" i="1"/>
  <c r="DY15" i="1"/>
  <c r="DZ13" i="1"/>
  <c r="DK63" i="1"/>
  <c r="DL33" i="1"/>
  <c r="DL34" i="1"/>
  <c r="DL36" i="1"/>
  <c r="DM17" i="1"/>
  <c r="DK37" i="1"/>
  <c r="DM32" i="1"/>
  <c r="DM33" i="1" s="1"/>
  <c r="DY16" i="1" l="1"/>
  <c r="DZ15" i="1"/>
  <c r="DZ14" i="1"/>
  <c r="DZ12" i="1"/>
  <c r="EA14" i="1"/>
  <c r="DL63" i="1"/>
  <c r="DN32" i="1"/>
  <c r="DL37" i="1"/>
  <c r="DN17" i="1"/>
  <c r="DM34" i="1"/>
  <c r="DM36" i="1"/>
  <c r="DY39" i="1" l="1"/>
  <c r="DY28" i="1"/>
  <c r="EA12" i="1"/>
  <c r="EA15" i="1"/>
  <c r="DZ16" i="1"/>
  <c r="EA13" i="1"/>
  <c r="EB12" i="1"/>
  <c r="DM63" i="1"/>
  <c r="DN33" i="1"/>
  <c r="DN34" i="1"/>
  <c r="DN36" i="1"/>
  <c r="DO32" i="1"/>
  <c r="DO33" i="1" s="1"/>
  <c r="DR12" i="1"/>
  <c r="DR13" i="1"/>
  <c r="DR15" i="1"/>
  <c r="DO17" i="1"/>
  <c r="DM37" i="1"/>
  <c r="DR14" i="1"/>
  <c r="DR6" i="1"/>
  <c r="DZ39" i="1" l="1"/>
  <c r="DZ28" i="1"/>
  <c r="EB13" i="1"/>
  <c r="EB15" i="1"/>
  <c r="EA16" i="1"/>
  <c r="EB14" i="1"/>
  <c r="EC13" i="1"/>
  <c r="EC15" i="1"/>
  <c r="EC14" i="1"/>
  <c r="DN63" i="1"/>
  <c r="DN37" i="1"/>
  <c r="L6" i="25"/>
  <c r="L8" i="25" s="1"/>
  <c r="DR5" i="1"/>
  <c r="DP32" i="1"/>
  <c r="L9" i="25"/>
  <c r="DP17" i="1"/>
  <c r="DO34" i="1"/>
  <c r="DO36" i="1"/>
  <c r="EA39" i="1" l="1"/>
  <c r="EA28" i="1"/>
  <c r="EB16" i="1"/>
  <c r="EC12" i="1"/>
  <c r="EC16" i="1" s="1"/>
  <c r="EE8" i="1"/>
  <c r="M7" i="25" s="1"/>
  <c r="ED14" i="1"/>
  <c r="L10" i="25"/>
  <c r="DO63" i="1"/>
  <c r="DP34" i="1"/>
  <c r="DP33" i="1"/>
  <c r="DP36" i="1"/>
  <c r="DO37" i="1"/>
  <c r="DQ17" i="1"/>
  <c r="DR16" i="1"/>
  <c r="EC39" i="1" l="1"/>
  <c r="EC28" i="1"/>
  <c r="EB39" i="1"/>
  <c r="EB28" i="1"/>
  <c r="ED15" i="1"/>
  <c r="ED12" i="1"/>
  <c r="ED13" i="1"/>
  <c r="DP63" i="1"/>
  <c r="DS32" i="1"/>
  <c r="DS33" i="1" s="1"/>
  <c r="DP37" i="1"/>
  <c r="DS17" i="1"/>
  <c r="DR17" i="1"/>
  <c r="DQ32" i="1"/>
  <c r="DQ33" i="1" s="1"/>
  <c r="DR28" i="1"/>
  <c r="L12" i="25" s="1"/>
  <c r="ED16" i="1" l="1"/>
  <c r="DT32" i="1"/>
  <c r="DT17" i="1"/>
  <c r="DS34" i="1"/>
  <c r="DS36" i="1"/>
  <c r="DQ34" i="1"/>
  <c r="DR32" i="1"/>
  <c r="DR33" i="1" s="1"/>
  <c r="DQ36" i="1"/>
  <c r="ED39" i="1" l="1"/>
  <c r="ED28" i="1"/>
  <c r="DR39" i="1"/>
  <c r="L16" i="25" s="1"/>
  <c r="DQ63" i="1"/>
  <c r="DT34" i="1"/>
  <c r="DT33" i="1"/>
  <c r="DT36" i="1"/>
  <c r="EE12" i="1"/>
  <c r="DR34" i="1"/>
  <c r="L11" i="25"/>
  <c r="L14" i="25" s="1"/>
  <c r="L15" i="25" s="1"/>
  <c r="DS37" i="1"/>
  <c r="DU17" i="1"/>
  <c r="DQ37" i="1"/>
  <c r="DR36" i="1"/>
  <c r="DS63" i="1" l="1"/>
  <c r="DT63" i="1"/>
  <c r="DV32" i="1"/>
  <c r="DT37" i="1"/>
  <c r="DV17" i="1"/>
  <c r="DU32" i="1"/>
  <c r="DU33" i="1" s="1"/>
  <c r="DR37" i="1"/>
  <c r="DV36" i="1" l="1"/>
  <c r="DV33" i="1"/>
  <c r="DV34" i="1"/>
  <c r="DW17" i="1"/>
  <c r="DW32" i="1"/>
  <c r="DU34" i="1"/>
  <c r="DU36" i="1"/>
  <c r="DV37" i="1" l="1"/>
  <c r="DU63" i="1"/>
  <c r="DV63" i="1"/>
  <c r="DX17" i="1"/>
  <c r="DX32" i="1"/>
  <c r="DW34" i="1"/>
  <c r="DW33" i="1"/>
  <c r="DW36" i="1"/>
  <c r="DU37" i="1"/>
  <c r="DW63" i="1" l="1"/>
  <c r="DX34" i="1"/>
  <c r="DX33" i="1"/>
  <c r="DY17" i="1"/>
  <c r="DX36" i="1"/>
  <c r="DW37" i="1"/>
  <c r="DY32" i="1"/>
  <c r="DY33" i="1" s="1"/>
  <c r="DX63" i="1" l="1"/>
  <c r="DZ32" i="1"/>
  <c r="DX37" i="1"/>
  <c r="DZ17" i="1"/>
  <c r="DY34" i="1"/>
  <c r="DY36" i="1"/>
  <c r="DY63" i="1" l="1"/>
  <c r="EA17" i="1"/>
  <c r="EA32" i="1"/>
  <c r="DZ34" i="1"/>
  <c r="DZ33" i="1"/>
  <c r="DZ36" i="1"/>
  <c r="DY37" i="1"/>
  <c r="DZ63" i="1" l="1"/>
  <c r="EB32" i="1"/>
  <c r="EA34" i="1"/>
  <c r="EA33" i="1"/>
  <c r="EE15" i="1"/>
  <c r="EE13" i="1"/>
  <c r="EA36" i="1"/>
  <c r="EB17" i="1"/>
  <c r="DZ37" i="1"/>
  <c r="EE14" i="1"/>
  <c r="EE6" i="1"/>
  <c r="M6" i="25" s="1"/>
  <c r="M8" i="25" s="1"/>
  <c r="EA63" i="1" l="1"/>
  <c r="M9" i="25"/>
  <c r="M10" i="25" s="1"/>
  <c r="EE5" i="1"/>
  <c r="EB36" i="1"/>
  <c r="EB33" i="1"/>
  <c r="EB34" i="1"/>
  <c r="EC17" i="1"/>
  <c r="EC32" i="1"/>
  <c r="EA37" i="1"/>
  <c r="EB63" i="1" l="1"/>
  <c r="EB37" i="1"/>
  <c r="ED32" i="1"/>
  <c r="ED33" i="1" s="1"/>
  <c r="EC36" i="1"/>
  <c r="EC33" i="1"/>
  <c r="EE16" i="1"/>
  <c r="EE17" i="1" s="1"/>
  <c r="ED17" i="1"/>
  <c r="EC34" i="1"/>
  <c r="EC63" i="1" l="1"/>
  <c r="EC37" i="1"/>
  <c r="EE28" i="1"/>
  <c r="ED34" i="1"/>
  <c r="ED36" i="1"/>
  <c r="EE32" i="1"/>
  <c r="EE33" i="1" s="1"/>
  <c r="EE39" i="1" l="1"/>
  <c r="M16" i="25" s="1"/>
  <c r="ED63" i="1"/>
  <c r="M12" i="25"/>
  <c r="M11" i="25"/>
  <c r="EE34" i="1"/>
  <c r="EE36" i="1"/>
  <c r="N21" i="19"/>
  <c r="ED37" i="1"/>
  <c r="M14" i="25" l="1"/>
  <c r="M15" i="25" s="1"/>
  <c r="L25" i="19"/>
  <c r="EE37" i="1"/>
  <c r="N23" i="19"/>
  <c r="N25" i="19" s="1"/>
  <c r="N22" i="19"/>
  <c r="P21" i="19"/>
  <c r="L22" i="19"/>
  <c r="L21" i="19"/>
  <c r="M21" i="19" s="1"/>
  <c r="P22" i="19" l="1"/>
  <c r="P23" i="19" s="1"/>
  <c r="P25" i="19" s="1"/>
  <c r="O21" i="19"/>
  <c r="M23" i="19"/>
  <c r="M25" i="19" s="1"/>
  <c r="M22" i="19"/>
  <c r="O22" i="19" l="1"/>
  <c r="O23" i="19" s="1"/>
  <c r="O25" i="19" s="1"/>
  <c r="D11" i="19" l="1"/>
  <c r="I15" i="24" l="1"/>
  <c r="I14" i="24" s="1"/>
  <c r="I16" i="24" l="1"/>
  <c r="I17" i="24" s="1"/>
  <c r="I18" i="24" s="1"/>
  <c r="I19" i="24" s="1"/>
  <c r="I20" i="24" s="1"/>
  <c r="I21" i="24" s="1"/>
  <c r="I22" i="24" s="1"/>
  <c r="I23" i="24" s="1"/>
  <c r="I24" i="24" s="1"/>
  <c r="I25" i="24" s="1"/>
  <c r="I26" i="24" s="1"/>
  <c r="I27" i="24" s="1"/>
  <c r="I28" i="24" s="1"/>
  <c r="I29" i="24" s="1"/>
  <c r="I30" i="24" s="1"/>
  <c r="I31" i="24" s="1"/>
  <c r="I32" i="24" s="1"/>
  <c r="I33" i="24" s="1"/>
  <c r="I34" i="24" s="1"/>
  <c r="I35" i="24" s="1"/>
  <c r="I36" i="24" s="1"/>
  <c r="I37" i="24" s="1"/>
  <c r="I38" i="24" s="1"/>
  <c r="I39" i="24" s="1"/>
  <c r="I40" i="24" s="1"/>
  <c r="I41" i="24" s="1"/>
  <c r="I42" i="24" s="1"/>
  <c r="I43" i="24" s="1"/>
  <c r="I44" i="24" s="1"/>
  <c r="I45" i="24" s="1"/>
  <c r="I46" i="24" s="1"/>
  <c r="I47" i="24" s="1"/>
  <c r="I48" i="24" s="1"/>
  <c r="I49" i="24" s="1"/>
  <c r="I50" i="24" s="1"/>
  <c r="I51" i="24" s="1"/>
  <c r="I52" i="24" s="1"/>
  <c r="I53" i="24" s="1"/>
  <c r="I54" i="24" s="1"/>
  <c r="I55" i="24" s="1"/>
  <c r="I56" i="24" s="1"/>
  <c r="I57" i="24" s="1"/>
  <c r="I58" i="24" s="1"/>
  <c r="I59" i="24" s="1"/>
  <c r="I60" i="24" s="1"/>
  <c r="I61" i="24" s="1"/>
  <c r="I62" i="24" s="1"/>
  <c r="I63" i="24" s="1"/>
  <c r="I64" i="24" s="1"/>
  <c r="I65" i="24" s="1"/>
  <c r="I66" i="24" s="1"/>
  <c r="I67" i="24" s="1"/>
  <c r="I68" i="24" s="1"/>
  <c r="I69" i="24" s="1"/>
  <c r="I70" i="24" s="1"/>
  <c r="I71" i="24" s="1"/>
  <c r="I72" i="24" s="1"/>
  <c r="I73" i="24" s="1"/>
  <c r="I74" i="24" s="1"/>
  <c r="I75" i="24" s="1"/>
  <c r="I76" i="24" s="1"/>
  <c r="I77" i="24" s="1"/>
  <c r="I78" i="24" s="1"/>
  <c r="I79" i="24" s="1"/>
  <c r="I80" i="24" s="1"/>
  <c r="I81" i="24" s="1"/>
  <c r="I82" i="24" s="1"/>
  <c r="I83" i="24" s="1"/>
  <c r="I84" i="24" s="1"/>
  <c r="I85" i="24" s="1"/>
  <c r="I86" i="24" s="1"/>
  <c r="I87" i="24" s="1"/>
  <c r="I88" i="24" s="1"/>
  <c r="I89" i="24" s="1"/>
  <c r="I90" i="24" s="1"/>
  <c r="I91" i="24" s="1"/>
  <c r="I92" i="24" s="1"/>
  <c r="I93" i="24" s="1"/>
  <c r="I94" i="24" s="1"/>
  <c r="I95" i="24" s="1"/>
  <c r="I96" i="24" s="1"/>
  <c r="I97" i="24" s="1"/>
  <c r="I98" i="24" s="1"/>
  <c r="I99" i="24" s="1"/>
  <c r="I100" i="24" s="1"/>
  <c r="I101" i="24" s="1"/>
  <c r="I102" i="24" s="1"/>
  <c r="I103" i="24" s="1"/>
  <c r="I104" i="24" s="1"/>
  <c r="I105" i="24" s="1"/>
  <c r="I106" i="24" s="1"/>
  <c r="I107" i="24" s="1"/>
  <c r="I108" i="24" s="1"/>
  <c r="I109" i="24" s="1"/>
  <c r="I110" i="24" s="1"/>
  <c r="I111" i="24" s="1"/>
  <c r="I112" i="24" s="1"/>
  <c r="I113" i="24" s="1"/>
  <c r="I114" i="24" s="1"/>
  <c r="I115" i="24" s="1"/>
  <c r="I116" i="24" s="1"/>
  <c r="I117" i="24" s="1"/>
  <c r="I118" i="24" s="1"/>
  <c r="I119" i="24" s="1"/>
  <c r="I120" i="24" s="1"/>
  <c r="I121" i="24" s="1"/>
  <c r="I122" i="24" s="1"/>
  <c r="I123" i="24" s="1"/>
  <c r="I124" i="24" s="1"/>
  <c r="I125" i="24" s="1"/>
  <c r="I126" i="24" s="1"/>
  <c r="I127" i="24" s="1"/>
  <c r="I128" i="24" s="1"/>
  <c r="I129" i="24" s="1"/>
  <c r="I130" i="24" s="1"/>
  <c r="I131" i="24" s="1"/>
  <c r="I132" i="24" s="1"/>
  <c r="I133" i="24" s="1"/>
  <c r="I134" i="24" s="1"/>
  <c r="I135" i="24" s="1"/>
  <c r="I136" i="24" s="1"/>
  <c r="I137" i="24" s="1"/>
  <c r="I138" i="24" s="1"/>
  <c r="I139" i="24" s="1"/>
  <c r="I140" i="24" s="1"/>
  <c r="I141" i="24" s="1"/>
  <c r="I142" i="24" s="1"/>
  <c r="I143" i="24" s="1"/>
  <c r="I144" i="24" s="1"/>
  <c r="I145" i="24" s="1"/>
  <c r="I146" i="24" s="1"/>
  <c r="I147" i="24" s="1"/>
  <c r="I148" i="24" s="1"/>
  <c r="I149" i="24" s="1"/>
  <c r="I150" i="24" s="1"/>
  <c r="I151" i="24" s="1"/>
  <c r="I152" i="24" s="1"/>
  <c r="I153" i="24" s="1"/>
  <c r="I154" i="24" s="1"/>
  <c r="I155" i="24" s="1"/>
  <c r="I156" i="24" s="1"/>
  <c r="I157" i="24" s="1"/>
  <c r="I158" i="24" s="1"/>
  <c r="I159" i="24" s="1"/>
  <c r="I160" i="24" s="1"/>
  <c r="I161" i="24" s="1"/>
  <c r="I162" i="24" s="1"/>
  <c r="I163" i="24" s="1"/>
  <c r="I164" i="24" s="1"/>
  <c r="I165" i="24" s="1"/>
  <c r="I166" i="24" s="1"/>
  <c r="I167" i="24" s="1"/>
  <c r="I168" i="24" s="1"/>
  <c r="I169" i="24" s="1"/>
  <c r="I170" i="24" s="1"/>
  <c r="I171" i="24" s="1"/>
  <c r="I172" i="24" s="1"/>
  <c r="I173" i="24" s="1"/>
  <c r="I174" i="24" s="1"/>
  <c r="I175" i="24" s="1"/>
  <c r="I176" i="24" s="1"/>
  <c r="I177" i="24" s="1"/>
  <c r="I178" i="24" s="1"/>
  <c r="I179" i="24" s="1"/>
  <c r="I180" i="24" s="1"/>
  <c r="I181" i="24" s="1"/>
  <c r="I182" i="24" s="1"/>
  <c r="I183" i="24" s="1"/>
  <c r="I184" i="24" s="1"/>
  <c r="I185" i="24" s="1"/>
  <c r="I186" i="24" s="1"/>
  <c r="I187" i="24" s="1"/>
  <c r="I188" i="24" s="1"/>
  <c r="I189" i="24" s="1"/>
  <c r="I190" i="24" s="1"/>
  <c r="I191" i="24" s="1"/>
  <c r="I192" i="24" s="1"/>
  <c r="I193" i="24" s="1"/>
  <c r="I194" i="24" s="1"/>
  <c r="I195" i="24" s="1"/>
  <c r="I196" i="24" s="1"/>
  <c r="I197" i="24" s="1"/>
  <c r="I198" i="24" s="1"/>
  <c r="I199" i="24" s="1"/>
  <c r="I200" i="24" s="1"/>
  <c r="I201" i="24" s="1"/>
  <c r="I202" i="24" s="1"/>
  <c r="I203" i="24" s="1"/>
  <c r="I204" i="24" s="1"/>
  <c r="I205" i="24" s="1"/>
  <c r="I206" i="24" s="1"/>
  <c r="I207" i="24" s="1"/>
  <c r="I208" i="24" s="1"/>
  <c r="I209" i="24" s="1"/>
  <c r="I210" i="24" s="1"/>
  <c r="I211" i="24" s="1"/>
  <c r="I212" i="24" s="1"/>
  <c r="I213" i="24" s="1"/>
  <c r="I214" i="24" s="1"/>
  <c r="I215" i="24" s="1"/>
  <c r="I216" i="24" s="1"/>
  <c r="I217" i="24" s="1"/>
  <c r="I218" i="24" s="1"/>
  <c r="I219" i="24" s="1"/>
  <c r="I220" i="24" s="1"/>
  <c r="I221" i="24" s="1"/>
  <c r="I222" i="24" s="1"/>
  <c r="I223" i="24" s="1"/>
  <c r="I224" i="24" s="1"/>
  <c r="I225" i="24" s="1"/>
  <c r="I226" i="24" s="1"/>
  <c r="I227" i="24" s="1"/>
  <c r="I228" i="24" s="1"/>
  <c r="I229" i="24" s="1"/>
  <c r="I230" i="24" s="1"/>
  <c r="I231" i="24" s="1"/>
  <c r="I232" i="24" s="1"/>
  <c r="I233" i="24" s="1"/>
  <c r="I234" i="24" s="1"/>
  <c r="I235" i="24" s="1"/>
  <c r="I236" i="24" s="1"/>
  <c r="I237" i="24" s="1"/>
  <c r="I238" i="24" s="1"/>
  <c r="I239" i="24" s="1"/>
  <c r="I240" i="24" s="1"/>
  <c r="I241" i="24" s="1"/>
  <c r="I242" i="24" s="1"/>
  <c r="I243" i="24" s="1"/>
  <c r="I244" i="24" s="1"/>
  <c r="I245" i="24" s="1"/>
  <c r="I246" i="24" s="1"/>
  <c r="I247" i="24" s="1"/>
  <c r="I248" i="24" s="1"/>
  <c r="I249" i="24" s="1"/>
  <c r="I250" i="24" s="1"/>
  <c r="I251" i="24" s="1"/>
  <c r="I252" i="24" s="1"/>
  <c r="I253" i="24" s="1"/>
  <c r="I254" i="24" s="1"/>
  <c r="I255" i="24" s="1"/>
  <c r="I256" i="24" s="1"/>
  <c r="I257" i="24" s="1"/>
  <c r="I258" i="24" s="1"/>
  <c r="I259" i="24" s="1"/>
  <c r="I260" i="24" s="1"/>
  <c r="I261" i="24" s="1"/>
  <c r="I262" i="24" s="1"/>
  <c r="I263" i="24" s="1"/>
  <c r="I264" i="24" s="1"/>
  <c r="I265" i="24" s="1"/>
  <c r="I266" i="24" s="1"/>
  <c r="I267" i="24" s="1"/>
  <c r="I268" i="24" s="1"/>
  <c r="I269" i="24" s="1"/>
  <c r="I270" i="24" s="1"/>
  <c r="I271" i="24" s="1"/>
  <c r="I272" i="24" s="1"/>
  <c r="I273" i="24" s="1"/>
  <c r="I274" i="24" s="1"/>
  <c r="I275" i="24" s="1"/>
  <c r="I276" i="24" s="1"/>
  <c r="I277" i="24" s="1"/>
  <c r="I278" i="24" s="1"/>
  <c r="I279" i="24" s="1"/>
  <c r="I280" i="24" s="1"/>
  <c r="I281" i="24" s="1"/>
  <c r="I282" i="24" s="1"/>
  <c r="I283" i="24" s="1"/>
  <c r="I284" i="24" s="1"/>
  <c r="I285" i="24" s="1"/>
  <c r="I286" i="24" s="1"/>
  <c r="I287" i="24" s="1"/>
  <c r="I288" i="24" s="1"/>
  <c r="I289" i="24" s="1"/>
  <c r="I290" i="24" s="1"/>
  <c r="I291" i="24" s="1"/>
  <c r="I292" i="24" s="1"/>
  <c r="I293" i="24" s="1"/>
  <c r="I294" i="24" s="1"/>
  <c r="I295" i="24" s="1"/>
  <c r="I296" i="24" s="1"/>
  <c r="I297" i="24" s="1"/>
  <c r="I298" i="24" s="1"/>
  <c r="I299" i="24" s="1"/>
  <c r="I300" i="24" s="1"/>
  <c r="I301" i="24" s="1"/>
  <c r="I302" i="24" s="1"/>
  <c r="I303" i="24" s="1"/>
  <c r="I304" i="24" s="1"/>
  <c r="I305" i="24" s="1"/>
  <c r="I306" i="24" s="1"/>
  <c r="I307" i="24" s="1"/>
  <c r="I308" i="24" s="1"/>
  <c r="I309" i="24" s="1"/>
  <c r="I310" i="24" s="1"/>
  <c r="I311" i="24" s="1"/>
  <c r="I312" i="24" s="1"/>
  <c r="I313" i="24" s="1"/>
  <c r="I314" i="24" s="1"/>
  <c r="I315" i="24" s="1"/>
  <c r="I316" i="24" s="1"/>
  <c r="I317" i="24" s="1"/>
  <c r="I318" i="24" s="1"/>
  <c r="I319" i="24" s="1"/>
  <c r="I320" i="24" s="1"/>
  <c r="I321" i="24" s="1"/>
  <c r="I322" i="24" s="1"/>
  <c r="I323" i="24" s="1"/>
  <c r="I324" i="24" s="1"/>
  <c r="I325" i="24" s="1"/>
  <c r="I326" i="24" s="1"/>
  <c r="I327" i="24" s="1"/>
  <c r="I328" i="24" s="1"/>
  <c r="I329" i="24" s="1"/>
  <c r="I330" i="24" s="1"/>
  <c r="I331" i="24" s="1"/>
  <c r="I332" i="24" s="1"/>
  <c r="I333" i="24" s="1"/>
  <c r="I334" i="24" s="1"/>
  <c r="I335" i="24" s="1"/>
  <c r="I336" i="24" s="1"/>
  <c r="I337" i="24" s="1"/>
  <c r="I338" i="24" s="1"/>
  <c r="I339" i="24" s="1"/>
  <c r="I340" i="24" s="1"/>
  <c r="I341" i="24" s="1"/>
  <c r="I342" i="24" s="1"/>
  <c r="I343" i="24" s="1"/>
  <c r="I344" i="24" s="1"/>
  <c r="I345" i="24" s="1"/>
  <c r="I346" i="24" s="1"/>
  <c r="I347" i="24" s="1"/>
  <c r="I348" i="24" s="1"/>
  <c r="I349" i="24" s="1"/>
  <c r="I350" i="24" s="1"/>
  <c r="I351" i="24" s="1"/>
  <c r="I352" i="24" s="1"/>
  <c r="I353" i="24" s="1"/>
  <c r="I354" i="24" s="1"/>
  <c r="I355" i="24" s="1"/>
  <c r="I356" i="24" s="1"/>
  <c r="I357" i="24" s="1"/>
  <c r="I358" i="24" s="1"/>
  <c r="I359" i="24" s="1"/>
  <c r="I360" i="24" s="1"/>
  <c r="I361" i="24" s="1"/>
  <c r="I362" i="24" s="1"/>
  <c r="I363" i="24" s="1"/>
  <c r="I364" i="24" s="1"/>
  <c r="I365" i="24" s="1"/>
  <c r="I366" i="24" s="1"/>
  <c r="I367" i="24" s="1"/>
  <c r="I368" i="24" s="1"/>
  <c r="I369" i="24" s="1"/>
  <c r="I370" i="24" s="1"/>
  <c r="I371" i="24" s="1"/>
  <c r="I372" i="24" s="1"/>
  <c r="I373" i="24" s="1"/>
  <c r="I374" i="24" s="1"/>
  <c r="C24" i="16" l="1"/>
  <c r="C25" i="16" s="1"/>
  <c r="C26" i="16" s="1"/>
  <c r="C27" i="16" s="1"/>
  <c r="N24" i="16"/>
  <c r="N25" i="16" s="1"/>
  <c r="N26" i="16" s="1"/>
  <c r="N27" i="16" s="1"/>
  <c r="C23" i="16" l="1"/>
  <c r="C22" i="16" s="1"/>
  <c r="C21" i="16" s="1"/>
  <c r="N23" i="16"/>
  <c r="N22" i="16" s="1"/>
  <c r="N21" i="16" s="1"/>
  <c r="CR63" i="1"/>
  <c r="CE63" i="1"/>
  <c r="DR63" i="1"/>
  <c r="EE63" i="1"/>
  <c r="DE63" i="1"/>
  <c r="J12" i="16"/>
  <c r="I17" i="19"/>
  <c r="AE63" i="1"/>
  <c r="AR63" i="1" l="1"/>
  <c r="H27" i="19"/>
  <c r="I27" i="19" l="1"/>
  <c r="L15" i="24"/>
  <c r="J16" i="24" s="1"/>
  <c r="I8" i="24"/>
  <c r="I9" i="24"/>
  <c r="J9" i="24" s="1"/>
  <c r="J15" i="24"/>
  <c r="G49" i="1" l="1"/>
  <c r="F49" i="1"/>
  <c r="F48" i="1"/>
  <c r="G48" i="1"/>
  <c r="L16" i="24"/>
  <c r="I7" i="24"/>
  <c r="G50" i="1" l="1"/>
  <c r="J17" i="24"/>
  <c r="F51" i="1"/>
  <c r="G51" i="1"/>
  <c r="F50" i="1"/>
  <c r="L17" i="24"/>
  <c r="H51" i="1" s="1"/>
  <c r="L18" i="24" l="1"/>
  <c r="I51" i="1" s="1"/>
  <c r="J18" i="24"/>
  <c r="H49" i="1"/>
  <c r="H48" i="1"/>
  <c r="J19" i="24" l="1"/>
  <c r="J49" i="1" s="1"/>
  <c r="H50" i="1"/>
  <c r="I49" i="1"/>
  <c r="I48" i="1"/>
  <c r="L19" i="24"/>
  <c r="J51" i="1" s="1"/>
  <c r="J48" i="1" l="1"/>
  <c r="J50" i="1" s="1"/>
  <c r="L20" i="24"/>
  <c r="J21" i="24" s="1"/>
  <c r="I50" i="1"/>
  <c r="J20" i="24"/>
  <c r="K49" i="1" s="1"/>
  <c r="K51" i="1" l="1"/>
  <c r="L21" i="24"/>
  <c r="L51" i="1" s="1"/>
  <c r="K48" i="1"/>
  <c r="K50" i="1" s="1"/>
  <c r="L48" i="1"/>
  <c r="L49" i="1"/>
  <c r="L22" i="24" l="1"/>
  <c r="L23" i="24" s="1"/>
  <c r="L24" i="24" s="1"/>
  <c r="L25" i="24" s="1"/>
  <c r="J22" i="24"/>
  <c r="M48" i="1" s="1"/>
  <c r="L50" i="1"/>
  <c r="M49" i="1" l="1"/>
  <c r="M50" i="1" s="1"/>
  <c r="M51" i="1"/>
  <c r="N51" i="1"/>
  <c r="J24" i="24"/>
  <c r="O48" i="1" s="1"/>
  <c r="J23" i="24"/>
  <c r="J25" i="24"/>
  <c r="P48" i="1" s="1"/>
  <c r="P51" i="1"/>
  <c r="O51" i="1"/>
  <c r="J26" i="24"/>
  <c r="O49" i="1" l="1"/>
  <c r="O50" i="1" s="1"/>
  <c r="P49" i="1"/>
  <c r="P50" i="1" s="1"/>
  <c r="N48" i="1"/>
  <c r="N49" i="1"/>
  <c r="K26" i="24"/>
  <c r="L26" i="24" s="1"/>
  <c r="J27" i="24" s="1"/>
  <c r="Q48" i="1"/>
  <c r="Q49" i="1"/>
  <c r="R49" i="1" l="1"/>
  <c r="N50" i="1"/>
  <c r="K27" i="24"/>
  <c r="S48" i="1"/>
  <c r="Q50" i="1"/>
  <c r="R48" i="1"/>
  <c r="Q51" i="1"/>
  <c r="R50" i="1" l="1"/>
  <c r="L27" i="24"/>
  <c r="S49" i="1"/>
  <c r="S50" i="1" s="1"/>
  <c r="R51" i="1"/>
  <c r="S51" i="1" l="1"/>
  <c r="J28" i="24"/>
  <c r="K28" i="24" l="1"/>
  <c r="T48" i="1"/>
  <c r="L28" i="24" l="1"/>
  <c r="T49" i="1"/>
  <c r="T50" i="1" s="1"/>
  <c r="T51" i="1" l="1"/>
  <c r="J29" i="24"/>
  <c r="K29" i="24" l="1"/>
  <c r="U48" i="1"/>
  <c r="L29" i="24" l="1"/>
  <c r="U49" i="1"/>
  <c r="U50" i="1" s="1"/>
  <c r="U51" i="1" l="1"/>
  <c r="J30" i="24"/>
  <c r="K30" i="24" l="1"/>
  <c r="V48" i="1"/>
  <c r="L30" i="24" l="1"/>
  <c r="V49" i="1"/>
  <c r="V50" i="1" s="1"/>
  <c r="V51" i="1" l="1"/>
  <c r="J31" i="24"/>
  <c r="K31" i="24" l="1"/>
  <c r="W48" i="1"/>
  <c r="L31" i="24" l="1"/>
  <c r="W49" i="1"/>
  <c r="W50" i="1" s="1"/>
  <c r="W51" i="1" l="1"/>
  <c r="J32" i="24"/>
  <c r="K32" i="24" l="1"/>
  <c r="X48" i="1"/>
  <c r="L32" i="24" l="1"/>
  <c r="X49" i="1"/>
  <c r="X50" i="1" s="1"/>
  <c r="X51" i="1" l="1"/>
  <c r="J33" i="24"/>
  <c r="K33" i="24" l="1"/>
  <c r="Y48" i="1"/>
  <c r="L33" i="24" l="1"/>
  <c r="Y49" i="1"/>
  <c r="Y50" i="1" s="1"/>
  <c r="Y51" i="1" l="1"/>
  <c r="J34" i="24"/>
  <c r="K34" i="24" l="1"/>
  <c r="Z48" i="1"/>
  <c r="L34" i="24" l="1"/>
  <c r="Z49" i="1"/>
  <c r="Z50" i="1" s="1"/>
  <c r="Z51" i="1" l="1"/>
  <c r="J35" i="24"/>
  <c r="K35" i="24" l="1"/>
  <c r="AA48" i="1"/>
  <c r="L35" i="24" l="1"/>
  <c r="AA49" i="1"/>
  <c r="AA50" i="1" s="1"/>
  <c r="AA51" i="1" l="1"/>
  <c r="J36" i="24"/>
  <c r="AB48" i="1" s="1"/>
  <c r="K36" i="24" l="1"/>
  <c r="L36" i="24" l="1"/>
  <c r="AB49" i="1"/>
  <c r="AB50" i="1" s="1"/>
  <c r="AB51" i="1" l="1"/>
  <c r="J37" i="24"/>
  <c r="K37" i="24" l="1"/>
  <c r="AC48" i="1"/>
  <c r="L37" i="24" l="1"/>
  <c r="AC49" i="1"/>
  <c r="AC50" i="1" s="1"/>
  <c r="AC51" i="1" l="1"/>
  <c r="J38" i="24"/>
  <c r="AD48" i="1" l="1"/>
  <c r="K38" i="24"/>
  <c r="L38" i="24" s="1"/>
  <c r="AD51" i="1" s="1"/>
  <c r="J39" i="24" l="1"/>
  <c r="K39" i="24" s="1"/>
  <c r="L39" i="24" s="1"/>
  <c r="AF51" i="1" s="1"/>
  <c r="AD49" i="1"/>
  <c r="AE49" i="1" s="1"/>
  <c r="AE48" i="1"/>
  <c r="AE51" i="1"/>
  <c r="AF48" i="1" l="1"/>
  <c r="J40" i="24"/>
  <c r="K40" i="24" s="1"/>
  <c r="L40" i="24" s="1"/>
  <c r="AG51" i="1" s="1"/>
  <c r="AF49" i="1"/>
  <c r="AD50" i="1"/>
  <c r="AE50" i="1" s="1"/>
  <c r="AF50" i="1" l="1"/>
  <c r="AG48" i="1"/>
  <c r="J41" i="24"/>
  <c r="K41" i="24" s="1"/>
  <c r="L41" i="24" s="1"/>
  <c r="AH51" i="1" s="1"/>
  <c r="AG49" i="1"/>
  <c r="AG50" i="1" l="1"/>
  <c r="AH48" i="1"/>
  <c r="J42" i="24"/>
  <c r="K42" i="24" s="1"/>
  <c r="L42" i="24" s="1"/>
  <c r="AI51" i="1" s="1"/>
  <c r="AH49" i="1"/>
  <c r="AH50" i="1" l="1"/>
  <c r="AI48" i="1"/>
  <c r="J43" i="24"/>
  <c r="K43" i="24" s="1"/>
  <c r="L43" i="24" s="1"/>
  <c r="AJ51" i="1" s="1"/>
  <c r="AI49" i="1"/>
  <c r="AI50" i="1" l="1"/>
  <c r="AJ48" i="1"/>
  <c r="J44" i="24"/>
  <c r="K44" i="24" s="1"/>
  <c r="L44" i="24" s="1"/>
  <c r="AK51" i="1" s="1"/>
  <c r="AJ49" i="1"/>
  <c r="AK48" i="1" l="1"/>
  <c r="AJ50" i="1"/>
  <c r="J45" i="24"/>
  <c r="K45" i="24" s="1"/>
  <c r="L45" i="24" s="1"/>
  <c r="AL51" i="1" s="1"/>
  <c r="AK49" i="1"/>
  <c r="AK50" i="1" l="1"/>
  <c r="AL48" i="1"/>
  <c r="J46" i="24"/>
  <c r="K46" i="24" s="1"/>
  <c r="L46" i="24" s="1"/>
  <c r="AM51" i="1" s="1"/>
  <c r="AL49" i="1"/>
  <c r="AM48" i="1" l="1"/>
  <c r="AL50" i="1"/>
  <c r="J47" i="24"/>
  <c r="K47" i="24" s="1"/>
  <c r="L47" i="24" s="1"/>
  <c r="AN51" i="1" s="1"/>
  <c r="AM49" i="1"/>
  <c r="AN48" i="1" l="1"/>
  <c r="AM50" i="1"/>
  <c r="J48" i="24"/>
  <c r="AO48" i="1" s="1"/>
  <c r="AN49" i="1"/>
  <c r="AN50" i="1" l="1"/>
  <c r="K48" i="24"/>
  <c r="L48" i="24" s="1"/>
  <c r="AO49" i="1" l="1"/>
  <c r="AO50" i="1" s="1"/>
  <c r="J49" i="24"/>
  <c r="AO51" i="1"/>
  <c r="AP48" i="1" l="1"/>
  <c r="K49" i="24"/>
  <c r="AP49" i="1" l="1"/>
  <c r="AP50" i="1" s="1"/>
  <c r="L49" i="24"/>
  <c r="J50" i="24" l="1"/>
  <c r="AP51" i="1"/>
  <c r="K50" i="24" l="1"/>
  <c r="AQ48" i="1"/>
  <c r="AR48" i="1" s="1"/>
  <c r="AQ49" i="1" l="1"/>
  <c r="AR49" i="1" s="1"/>
  <c r="L50" i="24"/>
  <c r="J51" i="24" l="1"/>
  <c r="AS48" i="1" s="1"/>
  <c r="AQ51" i="1"/>
  <c r="AQ50" i="1"/>
  <c r="AR50" i="1" s="1"/>
  <c r="K51" i="24" l="1"/>
  <c r="AR51" i="1"/>
  <c r="L51" i="24" l="1"/>
  <c r="AS49" i="1"/>
  <c r="AS50" i="1" s="1"/>
  <c r="J52" i="24" l="1"/>
  <c r="AS51" i="1"/>
  <c r="K52" i="24" l="1"/>
  <c r="AT48" i="1"/>
  <c r="AT49" i="1" l="1"/>
  <c r="AT50" i="1" s="1"/>
  <c r="L52" i="24"/>
  <c r="J53" i="24" l="1"/>
  <c r="AT51" i="1"/>
  <c r="K53" i="24" l="1"/>
  <c r="AU48" i="1"/>
  <c r="AU49" i="1" l="1"/>
  <c r="AU50" i="1" s="1"/>
  <c r="L53" i="24"/>
  <c r="J54" i="24" l="1"/>
  <c r="AU51" i="1"/>
  <c r="K54" i="24" l="1"/>
  <c r="AV48" i="1"/>
  <c r="AV49" i="1" l="1"/>
  <c r="AV50" i="1" s="1"/>
  <c r="L54" i="24"/>
  <c r="J55" i="24" l="1"/>
  <c r="AV51" i="1"/>
  <c r="K55" i="24" l="1"/>
  <c r="AW48" i="1"/>
  <c r="AW49" i="1" l="1"/>
  <c r="AW50" i="1" s="1"/>
  <c r="L55" i="24"/>
  <c r="J56" i="24" l="1"/>
  <c r="AW51" i="1"/>
  <c r="K56" i="24" l="1"/>
  <c r="AX48" i="1"/>
  <c r="AX49" i="1" l="1"/>
  <c r="AX50" i="1" s="1"/>
  <c r="L56" i="24"/>
  <c r="J57" i="24" l="1"/>
  <c r="AX51" i="1"/>
  <c r="K57" i="24" l="1"/>
  <c r="AY48" i="1"/>
  <c r="AY49" i="1" l="1"/>
  <c r="AY50" i="1" s="1"/>
  <c r="L57" i="24"/>
  <c r="J58" i="24" l="1"/>
  <c r="AY51" i="1"/>
  <c r="K58" i="24" l="1"/>
  <c r="AZ48" i="1"/>
  <c r="AZ49" i="1" l="1"/>
  <c r="AZ50" i="1" s="1"/>
  <c r="L58" i="24"/>
  <c r="J59" i="24" l="1"/>
  <c r="AZ51" i="1"/>
  <c r="K59" i="24" l="1"/>
  <c r="BA48" i="1"/>
  <c r="BA49" i="1" l="1"/>
  <c r="BA50" i="1" s="1"/>
  <c r="L59" i="24"/>
  <c r="J60" i="24" l="1"/>
  <c r="BA51" i="1"/>
  <c r="BB48" i="1" l="1"/>
  <c r="K60" i="24"/>
  <c r="BB49" i="1" l="1"/>
  <c r="BB50" i="1" s="1"/>
  <c r="L60" i="24"/>
  <c r="J61" i="24" l="1"/>
  <c r="BB51" i="1"/>
  <c r="K61" i="24" l="1"/>
  <c r="BC48" i="1"/>
  <c r="BC49" i="1" l="1"/>
  <c r="BC50" i="1" s="1"/>
  <c r="L61" i="24"/>
  <c r="J62" i="24" l="1"/>
  <c r="BC51" i="1"/>
  <c r="K62" i="24" l="1"/>
  <c r="BD48" i="1"/>
  <c r="BE48" i="1" s="1"/>
  <c r="BD49" i="1" l="1"/>
  <c r="BE49" i="1" s="1"/>
  <c r="L62" i="24"/>
  <c r="J63" i="24" l="1"/>
  <c r="BD51" i="1"/>
  <c r="BE51" i="1" s="1"/>
  <c r="BD50" i="1"/>
  <c r="BE50" i="1" s="1"/>
  <c r="K63" i="24" l="1"/>
  <c r="BF48" i="1"/>
  <c r="BF49" i="1" l="1"/>
  <c r="BF50" i="1" s="1"/>
  <c r="L63" i="24"/>
  <c r="J64" i="24" l="1"/>
  <c r="BF51" i="1"/>
  <c r="BG48" i="1" l="1"/>
  <c r="K64" i="24"/>
  <c r="BG49" i="1" l="1"/>
  <c r="BG50" i="1" s="1"/>
  <c r="L64" i="24"/>
  <c r="J65" i="24" l="1"/>
  <c r="BG51" i="1"/>
  <c r="K65" i="24" l="1"/>
  <c r="BH48" i="1"/>
  <c r="BH49" i="1" l="1"/>
  <c r="BH50" i="1" s="1"/>
  <c r="L65" i="24"/>
  <c r="J66" i="24" l="1"/>
  <c r="BH51" i="1"/>
  <c r="K66" i="24" l="1"/>
  <c r="BI48" i="1"/>
  <c r="BI49" i="1" l="1"/>
  <c r="BI50" i="1" s="1"/>
  <c r="L66" i="24"/>
  <c r="J67" i="24" l="1"/>
  <c r="BI51" i="1"/>
  <c r="K67" i="24" l="1"/>
  <c r="BJ48" i="1"/>
  <c r="BJ49" i="1" l="1"/>
  <c r="BJ50" i="1" s="1"/>
  <c r="L67" i="24"/>
  <c r="J68" i="24" l="1"/>
  <c r="BJ51" i="1"/>
  <c r="K68" i="24" l="1"/>
  <c r="BK48" i="1"/>
  <c r="BK49" i="1" l="1"/>
  <c r="BK50" i="1" s="1"/>
  <c r="L68" i="24"/>
  <c r="J69" i="24" l="1"/>
  <c r="BK51" i="1"/>
  <c r="K69" i="24" l="1"/>
  <c r="BL48" i="1"/>
  <c r="BL51" i="1"/>
  <c r="BL49" i="1" l="1"/>
  <c r="BL50" i="1" s="1"/>
  <c r="L69" i="24"/>
  <c r="J70" i="24" s="1"/>
  <c r="K70" i="24" s="1"/>
  <c r="BM48" i="1"/>
  <c r="BM49" i="1" l="1"/>
  <c r="BM50" i="1" s="1"/>
  <c r="L70" i="24"/>
  <c r="BM51" i="1" l="1"/>
  <c r="J71" i="24"/>
  <c r="BN48" i="1" l="1"/>
  <c r="K71" i="24"/>
  <c r="BN49" i="1" l="1"/>
  <c r="BN50" i="1" s="1"/>
  <c r="L71" i="24"/>
  <c r="BN51" i="1" l="1"/>
  <c r="J72" i="24"/>
  <c r="BO48" i="1" l="1"/>
  <c r="K72" i="24"/>
  <c r="BO49" i="1" l="1"/>
  <c r="BO50" i="1" s="1"/>
  <c r="L72" i="24"/>
  <c r="BO51" i="1" l="1"/>
  <c r="J73" i="24"/>
  <c r="BP48" i="1" l="1"/>
  <c r="K73" i="24"/>
  <c r="BP49" i="1" l="1"/>
  <c r="BP50" i="1" s="1"/>
  <c r="L73" i="24"/>
  <c r="BP51" i="1" l="1"/>
  <c r="J74" i="24"/>
  <c r="BQ48" i="1" l="1"/>
  <c r="K74" i="24"/>
  <c r="BR48" i="1" l="1"/>
  <c r="BQ49" i="1"/>
  <c r="BR49" i="1" s="1"/>
  <c r="L74" i="24"/>
  <c r="BQ50" i="1" l="1"/>
  <c r="BR50" i="1" s="1"/>
  <c r="BQ51" i="1"/>
  <c r="J75" i="24"/>
  <c r="BS48" i="1" l="1"/>
  <c r="BR51" i="1"/>
  <c r="K75" i="24"/>
  <c r="BS49" i="1" l="1"/>
  <c r="BS50" i="1" s="1"/>
  <c r="L75" i="24"/>
  <c r="BS51" i="1" l="1"/>
  <c r="J76" i="24"/>
  <c r="BT48" i="1" l="1"/>
  <c r="K76" i="24"/>
  <c r="BT49" i="1" l="1"/>
  <c r="BT50" i="1" s="1"/>
  <c r="L76" i="24"/>
  <c r="BT51" i="1" l="1"/>
  <c r="J77" i="24"/>
  <c r="BU48" i="1" l="1"/>
  <c r="K77" i="24"/>
  <c r="BU49" i="1" l="1"/>
  <c r="BU50" i="1" s="1"/>
  <c r="L77" i="24"/>
  <c r="BU51" i="1" l="1"/>
  <c r="J78" i="24"/>
  <c r="BV48" i="1" l="1"/>
  <c r="K78" i="24"/>
  <c r="BV49" i="1" l="1"/>
  <c r="BV50" i="1" s="1"/>
  <c r="L78" i="24"/>
  <c r="BV51" i="1" l="1"/>
  <c r="J79" i="24"/>
  <c r="BW48" i="1" l="1"/>
  <c r="K79" i="24"/>
  <c r="BW49" i="1" l="1"/>
  <c r="BW50" i="1" s="1"/>
  <c r="L79" i="24"/>
  <c r="BW51" i="1" l="1"/>
  <c r="J80" i="24"/>
  <c r="BX48" i="1" l="1"/>
  <c r="K80" i="24"/>
  <c r="BX49" i="1" l="1"/>
  <c r="BX50" i="1" s="1"/>
  <c r="L80" i="24"/>
  <c r="BX51" i="1" l="1"/>
  <c r="J81" i="24"/>
  <c r="BY48" i="1" l="1"/>
  <c r="K81" i="24"/>
  <c r="BY49" i="1" l="1"/>
  <c r="BY50" i="1" s="1"/>
  <c r="L81" i="24"/>
  <c r="BY51" i="1" l="1"/>
  <c r="J82" i="24"/>
  <c r="BZ48" i="1" l="1"/>
  <c r="K82" i="24"/>
  <c r="BZ49" i="1" l="1"/>
  <c r="BZ50" i="1" s="1"/>
  <c r="L82" i="24"/>
  <c r="BZ51" i="1" l="1"/>
  <c r="J83" i="24"/>
  <c r="CA48" i="1" l="1"/>
  <c r="K83" i="24"/>
  <c r="CA49" i="1" l="1"/>
  <c r="CA50" i="1" s="1"/>
  <c r="L83" i="24"/>
  <c r="CA51" i="1" l="1"/>
  <c r="J84" i="24"/>
  <c r="CB48" i="1" l="1"/>
  <c r="K84" i="24"/>
  <c r="CB49" i="1" l="1"/>
  <c r="CB50" i="1" s="1"/>
  <c r="L84" i="24"/>
  <c r="CB51" i="1" l="1"/>
  <c r="J85" i="24"/>
  <c r="CC48" i="1" l="1"/>
  <c r="K85" i="24"/>
  <c r="CC49" i="1" l="1"/>
  <c r="CC50" i="1" s="1"/>
  <c r="L85" i="24"/>
  <c r="CC51" i="1" l="1"/>
  <c r="J86" i="24"/>
  <c r="CD48" i="1" l="1"/>
  <c r="K86" i="24"/>
  <c r="CE48" i="1" l="1"/>
  <c r="CD49" i="1"/>
  <c r="CE49" i="1" s="1"/>
  <c r="L86" i="24"/>
  <c r="CD50" i="1" l="1"/>
  <c r="CE50" i="1" s="1"/>
  <c r="CD51" i="1"/>
  <c r="J87" i="24"/>
  <c r="CF48" i="1" l="1"/>
  <c r="CE51" i="1"/>
  <c r="K87" i="24"/>
  <c r="CF49" i="1" l="1"/>
  <c r="CF50" i="1" s="1"/>
  <c r="L87" i="24"/>
  <c r="CF51" i="1" l="1"/>
  <c r="J88" i="24"/>
  <c r="CG48" i="1" l="1"/>
  <c r="K88" i="24"/>
  <c r="CG49" i="1" l="1"/>
  <c r="CG50" i="1" s="1"/>
  <c r="L88" i="24"/>
  <c r="CG51" i="1" l="1"/>
  <c r="J89" i="24"/>
  <c r="CH48" i="1" l="1"/>
  <c r="K89" i="24"/>
  <c r="CH49" i="1" l="1"/>
  <c r="CH50" i="1" s="1"/>
  <c r="L89" i="24"/>
  <c r="CH51" i="1" l="1"/>
  <c r="J90" i="24"/>
  <c r="CI48" i="1" l="1"/>
  <c r="K90" i="24"/>
  <c r="CI49" i="1" l="1"/>
  <c r="CI50" i="1" s="1"/>
  <c r="L90" i="24"/>
  <c r="CI51" i="1" l="1"/>
  <c r="J91" i="24"/>
  <c r="CJ48" i="1" l="1"/>
  <c r="K91" i="24"/>
  <c r="CJ49" i="1" l="1"/>
  <c r="CJ50" i="1" s="1"/>
  <c r="L91" i="24"/>
  <c r="CJ51" i="1" l="1"/>
  <c r="J92" i="24"/>
  <c r="CK48" i="1" l="1"/>
  <c r="K92" i="24"/>
  <c r="CK49" i="1" l="1"/>
  <c r="CK50" i="1" s="1"/>
  <c r="L92" i="24"/>
  <c r="CK51" i="1" l="1"/>
  <c r="J93" i="24"/>
  <c r="CL48" i="1" l="1"/>
  <c r="K93" i="24"/>
  <c r="CL49" i="1" l="1"/>
  <c r="CL50" i="1" s="1"/>
  <c r="L93" i="24"/>
  <c r="CL51" i="1" l="1"/>
  <c r="J94" i="24"/>
  <c r="CM48" i="1" l="1"/>
  <c r="K94" i="24"/>
  <c r="CM49" i="1" l="1"/>
  <c r="CM50" i="1" s="1"/>
  <c r="L94" i="24"/>
  <c r="CM51" i="1" l="1"/>
  <c r="J95" i="24"/>
  <c r="CN48" i="1" l="1"/>
  <c r="K95" i="24"/>
  <c r="CN49" i="1" l="1"/>
  <c r="CN50" i="1" s="1"/>
  <c r="L95" i="24"/>
  <c r="CN51" i="1" l="1"/>
  <c r="J96" i="24"/>
  <c r="CO48" i="1" l="1"/>
  <c r="K96" i="24"/>
  <c r="CO49" i="1" l="1"/>
  <c r="CO50" i="1" s="1"/>
  <c r="L96" i="24"/>
  <c r="CO51" i="1" l="1"/>
  <c r="J97" i="24"/>
  <c r="CP48" i="1" l="1"/>
  <c r="K97" i="24"/>
  <c r="CP49" i="1" l="1"/>
  <c r="CP50" i="1" s="1"/>
  <c r="L97" i="24"/>
  <c r="CP51" i="1" l="1"/>
  <c r="J98" i="24"/>
  <c r="CQ48" i="1" l="1"/>
  <c r="K98" i="24"/>
  <c r="CQ49" i="1" l="1"/>
  <c r="CR49" i="1" s="1"/>
  <c r="CR48" i="1"/>
  <c r="L98" i="24"/>
  <c r="CQ51" i="1" l="1"/>
  <c r="CQ50" i="1"/>
  <c r="CR50" i="1" s="1"/>
  <c r="J99" i="24"/>
  <c r="CS48" i="1" s="1"/>
  <c r="CR51" i="1" l="1"/>
  <c r="K99" i="24"/>
  <c r="CS49" i="1" s="1"/>
  <c r="CS50" i="1" s="1"/>
  <c r="L99" i="24" l="1"/>
  <c r="CS51" i="1" s="1"/>
  <c r="J100" i="24" l="1"/>
  <c r="CT48" i="1" s="1"/>
  <c r="K100" i="24" l="1"/>
  <c r="CT49" i="1" s="1"/>
  <c r="CT50" i="1" s="1"/>
  <c r="L100" i="24" l="1"/>
  <c r="CT51" i="1" s="1"/>
  <c r="J101" i="24" l="1"/>
  <c r="CU48" i="1" s="1"/>
  <c r="K101" i="24" l="1"/>
  <c r="CU49" i="1" s="1"/>
  <c r="CU50" i="1" s="1"/>
  <c r="L101" i="24" l="1"/>
  <c r="CU51" i="1" s="1"/>
  <c r="J102" i="24" l="1"/>
  <c r="CV48" i="1" s="1"/>
  <c r="K102" i="24" l="1"/>
  <c r="CV49" i="1" s="1"/>
  <c r="CV50" i="1" s="1"/>
  <c r="L102" i="24" l="1"/>
  <c r="CV51" i="1" s="1"/>
  <c r="J103" i="24" l="1"/>
  <c r="CW48" i="1" s="1"/>
  <c r="K103" i="24" l="1"/>
  <c r="CW49" i="1" s="1"/>
  <c r="CW50" i="1" s="1"/>
  <c r="L103" i="24" l="1"/>
  <c r="CW51" i="1" s="1"/>
  <c r="J104" i="24" l="1"/>
  <c r="CX48" i="1" s="1"/>
  <c r="K104" i="24" l="1"/>
  <c r="CX49" i="1" s="1"/>
  <c r="CX50" i="1" s="1"/>
  <c r="L104" i="24" l="1"/>
  <c r="CX51" i="1" s="1"/>
  <c r="J105" i="24" l="1"/>
  <c r="CY48" i="1" s="1"/>
  <c r="K105" i="24" l="1"/>
  <c r="CY49" i="1" s="1"/>
  <c r="CY50" i="1" s="1"/>
  <c r="L105" i="24" l="1"/>
  <c r="CY51" i="1" s="1"/>
  <c r="J106" i="24" l="1"/>
  <c r="CZ48" i="1" s="1"/>
  <c r="K106" i="24" l="1"/>
  <c r="CZ49" i="1" s="1"/>
  <c r="CZ50" i="1" s="1"/>
  <c r="L106" i="24" l="1"/>
  <c r="CZ51" i="1" s="1"/>
  <c r="J107" i="24" l="1"/>
  <c r="DA48" i="1" s="1"/>
  <c r="K107" i="24" l="1"/>
  <c r="DA49" i="1" s="1"/>
  <c r="DA50" i="1" s="1"/>
  <c r="L107" i="24" l="1"/>
  <c r="DA51" i="1" s="1"/>
  <c r="J108" i="24" l="1"/>
  <c r="DB48" i="1" s="1"/>
  <c r="K108" i="24" l="1"/>
  <c r="DB49" i="1" s="1"/>
  <c r="DB50" i="1" s="1"/>
  <c r="L108" i="24" l="1"/>
  <c r="DB51" i="1" s="1"/>
  <c r="J109" i="24" l="1"/>
  <c r="DC48" i="1" s="1"/>
  <c r="K109" i="24" l="1"/>
  <c r="DC49" i="1" s="1"/>
  <c r="DC50" i="1" s="1"/>
  <c r="L109" i="24" l="1"/>
  <c r="DC51" i="1" s="1"/>
  <c r="J110" i="24" l="1"/>
  <c r="DD48" i="1" s="1"/>
  <c r="DE48" i="1" l="1"/>
  <c r="K110" i="24"/>
  <c r="DD49" i="1" s="1"/>
  <c r="DE49" i="1" s="1"/>
  <c r="DD50" i="1" l="1"/>
  <c r="DE50" i="1" s="1"/>
  <c r="L110" i="24"/>
  <c r="DD51" i="1" s="1"/>
  <c r="DE51" i="1" l="1"/>
  <c r="J111" i="24"/>
  <c r="K111" i="24" l="1"/>
  <c r="DF48" i="1"/>
  <c r="L111" i="24" l="1"/>
  <c r="DF49" i="1"/>
  <c r="DF50" i="1" s="1"/>
  <c r="J112" i="24" l="1"/>
  <c r="DF51" i="1"/>
  <c r="K112" i="24" l="1"/>
  <c r="DG48" i="1"/>
  <c r="L112" i="24" l="1"/>
  <c r="DG49" i="1"/>
  <c r="DG50" i="1" s="1"/>
  <c r="J113" i="24" l="1"/>
  <c r="DG51" i="1"/>
  <c r="K113" i="24" l="1"/>
  <c r="DH48" i="1"/>
  <c r="L113" i="24" l="1"/>
  <c r="DH49" i="1"/>
  <c r="DH50" i="1" s="1"/>
  <c r="J114" i="24" l="1"/>
  <c r="DH51" i="1"/>
  <c r="K114" i="24" l="1"/>
  <c r="DI48" i="1"/>
  <c r="L114" i="24" l="1"/>
  <c r="DI49" i="1"/>
  <c r="DI50" i="1" s="1"/>
  <c r="J115" i="24" l="1"/>
  <c r="DI51" i="1"/>
  <c r="K115" i="24" l="1"/>
  <c r="DJ48" i="1"/>
  <c r="L115" i="24" l="1"/>
  <c r="DJ49" i="1"/>
  <c r="DJ50" i="1" s="1"/>
  <c r="J116" i="24" l="1"/>
  <c r="DJ51" i="1"/>
  <c r="K116" i="24" l="1"/>
  <c r="DK48" i="1"/>
  <c r="L116" i="24" l="1"/>
  <c r="DK49" i="1"/>
  <c r="DK50" i="1" s="1"/>
  <c r="J117" i="24" l="1"/>
  <c r="DK51" i="1"/>
  <c r="K117" i="24" l="1"/>
  <c r="DL48" i="1"/>
  <c r="L117" i="24" l="1"/>
  <c r="DL49" i="1"/>
  <c r="DL50" i="1" s="1"/>
  <c r="J118" i="24" l="1"/>
  <c r="DL51" i="1"/>
  <c r="K118" i="24" l="1"/>
  <c r="DM48" i="1"/>
  <c r="L118" i="24" l="1"/>
  <c r="DM49" i="1"/>
  <c r="DM50" i="1" s="1"/>
  <c r="J119" i="24" l="1"/>
  <c r="DM51" i="1"/>
  <c r="K119" i="24" l="1"/>
  <c r="DN48" i="1"/>
  <c r="L119" i="24" l="1"/>
  <c r="DN49" i="1"/>
  <c r="DN50" i="1" s="1"/>
  <c r="J120" i="24" l="1"/>
  <c r="DN51" i="1"/>
  <c r="K120" i="24" l="1"/>
  <c r="DO48" i="1"/>
  <c r="L120" i="24" l="1"/>
  <c r="DO49" i="1"/>
  <c r="DO50" i="1" s="1"/>
  <c r="J121" i="24" l="1"/>
  <c r="DO51" i="1"/>
  <c r="K121" i="24" l="1"/>
  <c r="DP48" i="1"/>
  <c r="L121" i="24" l="1"/>
  <c r="DP49" i="1"/>
  <c r="DP50" i="1" s="1"/>
  <c r="J122" i="24" l="1"/>
  <c r="DP51" i="1"/>
  <c r="K122" i="24" l="1"/>
  <c r="DQ48" i="1"/>
  <c r="DR48" i="1" l="1"/>
  <c r="L122" i="24"/>
  <c r="DQ49" i="1"/>
  <c r="DR49" i="1" s="1"/>
  <c r="J123" i="24" l="1"/>
  <c r="DQ51" i="1"/>
  <c r="DQ50" i="1"/>
  <c r="DR50" i="1" s="1"/>
  <c r="DR51" i="1" l="1"/>
  <c r="K123" i="24"/>
  <c r="DS48" i="1"/>
  <c r="L123" i="24" l="1"/>
  <c r="DS49" i="1"/>
  <c r="DS50" i="1" s="1"/>
  <c r="J124" i="24" l="1"/>
  <c r="DS51" i="1"/>
  <c r="K124" i="24" l="1"/>
  <c r="DT48" i="1"/>
  <c r="L124" i="24" l="1"/>
  <c r="DT49" i="1"/>
  <c r="DT50" i="1" s="1"/>
  <c r="J125" i="24" l="1"/>
  <c r="DT51" i="1"/>
  <c r="K125" i="24" l="1"/>
  <c r="DU48" i="1"/>
  <c r="L125" i="24" l="1"/>
  <c r="DU49" i="1"/>
  <c r="DU50" i="1" s="1"/>
  <c r="J126" i="24" l="1"/>
  <c r="DU51" i="1"/>
  <c r="K126" i="24" l="1"/>
  <c r="DV48" i="1"/>
  <c r="L126" i="24" l="1"/>
  <c r="DV49" i="1"/>
  <c r="DV50" i="1" s="1"/>
  <c r="J127" i="24" l="1"/>
  <c r="DV51" i="1"/>
  <c r="K127" i="24" l="1"/>
  <c r="DW48" i="1"/>
  <c r="L127" i="24" l="1"/>
  <c r="DW49" i="1"/>
  <c r="DW50" i="1" s="1"/>
  <c r="J128" i="24" l="1"/>
  <c r="DW51" i="1"/>
  <c r="K128" i="24" l="1"/>
  <c r="DX48" i="1"/>
  <c r="L128" i="24" l="1"/>
  <c r="DX49" i="1"/>
  <c r="DX50" i="1" s="1"/>
  <c r="J129" i="24" l="1"/>
  <c r="DX51" i="1"/>
  <c r="K129" i="24" l="1"/>
  <c r="DY48" i="1"/>
  <c r="L129" i="24" l="1"/>
  <c r="DY49" i="1"/>
  <c r="DY50" i="1" s="1"/>
  <c r="J130" i="24" l="1"/>
  <c r="DY51" i="1"/>
  <c r="K130" i="24" l="1"/>
  <c r="DZ48" i="1"/>
  <c r="L130" i="24" l="1"/>
  <c r="DZ49" i="1"/>
  <c r="DZ50" i="1" s="1"/>
  <c r="J131" i="24" l="1"/>
  <c r="DZ51" i="1"/>
  <c r="K131" i="24" l="1"/>
  <c r="EA48" i="1"/>
  <c r="L131" i="24" l="1"/>
  <c r="EA49" i="1"/>
  <c r="EA50" i="1" s="1"/>
  <c r="J132" i="24" l="1"/>
  <c r="EA51" i="1"/>
  <c r="K132" i="24" l="1"/>
  <c r="EB48" i="1"/>
  <c r="L132" i="24" l="1"/>
  <c r="EB49" i="1"/>
  <c r="EB50" i="1" s="1"/>
  <c r="J133" i="24" l="1"/>
  <c r="EB51" i="1"/>
  <c r="K133" i="24" l="1"/>
  <c r="EC48" i="1"/>
  <c r="L133" i="24" l="1"/>
  <c r="EC49" i="1"/>
  <c r="EC50" i="1" s="1"/>
  <c r="J134" i="24" l="1"/>
  <c r="EC51" i="1"/>
  <c r="K134" i="24" l="1"/>
  <c r="ED48" i="1"/>
  <c r="EE48" i="1" l="1"/>
  <c r="L134" i="24"/>
  <c r="ED49" i="1"/>
  <c r="EE49" i="1" s="1"/>
  <c r="J135" i="24" l="1"/>
  <c r="K135" i="24" s="1"/>
  <c r="L135" i="24" s="1"/>
  <c r="J136" i="24" s="1"/>
  <c r="K136" i="24" s="1"/>
  <c r="L136" i="24" s="1"/>
  <c r="J137" i="24" s="1"/>
  <c r="K137" i="24" s="1"/>
  <c r="L137" i="24" s="1"/>
  <c r="J138" i="24" s="1"/>
  <c r="K138" i="24" s="1"/>
  <c r="L138" i="24" s="1"/>
  <c r="J139" i="24" s="1"/>
  <c r="K139" i="24" s="1"/>
  <c r="L139" i="24" s="1"/>
  <c r="J140" i="24" s="1"/>
  <c r="K140" i="24" s="1"/>
  <c r="L140" i="24" s="1"/>
  <c r="J141" i="24" s="1"/>
  <c r="K141" i="24" s="1"/>
  <c r="L141" i="24" s="1"/>
  <c r="J142" i="24" s="1"/>
  <c r="K142" i="24" s="1"/>
  <c r="L142" i="24" s="1"/>
  <c r="J143" i="24" s="1"/>
  <c r="K143" i="24" s="1"/>
  <c r="L143" i="24" s="1"/>
  <c r="J144" i="24" s="1"/>
  <c r="K144" i="24" s="1"/>
  <c r="L144" i="24" s="1"/>
  <c r="J145" i="24" s="1"/>
  <c r="K145" i="24" s="1"/>
  <c r="L145" i="24" s="1"/>
  <c r="J146" i="24" s="1"/>
  <c r="K146" i="24" s="1"/>
  <c r="L146" i="24" s="1"/>
  <c r="J147" i="24" s="1"/>
  <c r="K147" i="24" s="1"/>
  <c r="L147" i="24" s="1"/>
  <c r="J148" i="24" s="1"/>
  <c r="K148" i="24" s="1"/>
  <c r="L148" i="24" s="1"/>
  <c r="J149" i="24" s="1"/>
  <c r="K149" i="24" s="1"/>
  <c r="L149" i="24" s="1"/>
  <c r="J150" i="24" s="1"/>
  <c r="K150" i="24" s="1"/>
  <c r="L150" i="24" s="1"/>
  <c r="J151" i="24" s="1"/>
  <c r="K151" i="24" s="1"/>
  <c r="L151" i="24" s="1"/>
  <c r="J152" i="24" s="1"/>
  <c r="K152" i="24" s="1"/>
  <c r="L152" i="24" s="1"/>
  <c r="J153" i="24" s="1"/>
  <c r="K153" i="24" s="1"/>
  <c r="L153" i="24" s="1"/>
  <c r="J154" i="24" s="1"/>
  <c r="K154" i="24" s="1"/>
  <c r="L154" i="24" s="1"/>
  <c r="J155" i="24" s="1"/>
  <c r="K155" i="24" s="1"/>
  <c r="L155" i="24" s="1"/>
  <c r="J156" i="24" s="1"/>
  <c r="K156" i="24" s="1"/>
  <c r="L156" i="24" s="1"/>
  <c r="J157" i="24" s="1"/>
  <c r="K157" i="24" s="1"/>
  <c r="L157" i="24" s="1"/>
  <c r="J158" i="24" s="1"/>
  <c r="K158" i="24" s="1"/>
  <c r="L158" i="24" s="1"/>
  <c r="J159" i="24" s="1"/>
  <c r="K159" i="24" s="1"/>
  <c r="L159" i="24" s="1"/>
  <c r="J160" i="24" s="1"/>
  <c r="K160" i="24" s="1"/>
  <c r="L160" i="24" s="1"/>
  <c r="J161" i="24" s="1"/>
  <c r="K161" i="24" s="1"/>
  <c r="L161" i="24" s="1"/>
  <c r="J162" i="24" s="1"/>
  <c r="K162" i="24" s="1"/>
  <c r="L162" i="24" s="1"/>
  <c r="J163" i="24" s="1"/>
  <c r="K163" i="24" s="1"/>
  <c r="L163" i="24" s="1"/>
  <c r="J164" i="24" s="1"/>
  <c r="K164" i="24" s="1"/>
  <c r="L164" i="24" s="1"/>
  <c r="J165" i="24" s="1"/>
  <c r="K165" i="24" s="1"/>
  <c r="L165" i="24" s="1"/>
  <c r="J166" i="24" s="1"/>
  <c r="K166" i="24" s="1"/>
  <c r="L166" i="24" s="1"/>
  <c r="J167" i="24" s="1"/>
  <c r="K167" i="24" s="1"/>
  <c r="L167" i="24" s="1"/>
  <c r="J168" i="24" s="1"/>
  <c r="K168" i="24" s="1"/>
  <c r="L168" i="24" s="1"/>
  <c r="J169" i="24" s="1"/>
  <c r="K169" i="24" s="1"/>
  <c r="L169" i="24" s="1"/>
  <c r="J170" i="24" s="1"/>
  <c r="K170" i="24" s="1"/>
  <c r="L170" i="24" s="1"/>
  <c r="J171" i="24" s="1"/>
  <c r="K171" i="24" s="1"/>
  <c r="L171" i="24" s="1"/>
  <c r="J172" i="24" s="1"/>
  <c r="K172" i="24" s="1"/>
  <c r="L172" i="24" s="1"/>
  <c r="J173" i="24" s="1"/>
  <c r="K173" i="24" s="1"/>
  <c r="L173" i="24" s="1"/>
  <c r="J174" i="24" s="1"/>
  <c r="K174" i="24" s="1"/>
  <c r="L174" i="24" s="1"/>
  <c r="J175" i="24" s="1"/>
  <c r="K175" i="24" s="1"/>
  <c r="L175" i="24" s="1"/>
  <c r="J176" i="24" s="1"/>
  <c r="K176" i="24" s="1"/>
  <c r="L176" i="24" s="1"/>
  <c r="J177" i="24" s="1"/>
  <c r="K177" i="24" s="1"/>
  <c r="L177" i="24" s="1"/>
  <c r="J178" i="24" s="1"/>
  <c r="K178" i="24" s="1"/>
  <c r="L178" i="24" s="1"/>
  <c r="J179" i="24" s="1"/>
  <c r="K179" i="24" s="1"/>
  <c r="L179" i="24" s="1"/>
  <c r="J180" i="24" s="1"/>
  <c r="K180" i="24" s="1"/>
  <c r="L180" i="24" s="1"/>
  <c r="J181" i="24" s="1"/>
  <c r="K181" i="24" s="1"/>
  <c r="L181" i="24" s="1"/>
  <c r="J182" i="24" s="1"/>
  <c r="K182" i="24" s="1"/>
  <c r="L182" i="24" s="1"/>
  <c r="J183" i="24" s="1"/>
  <c r="K183" i="24" s="1"/>
  <c r="L183" i="24" s="1"/>
  <c r="J184" i="24" s="1"/>
  <c r="K184" i="24" s="1"/>
  <c r="L184" i="24" s="1"/>
  <c r="J185" i="24" s="1"/>
  <c r="K185" i="24" s="1"/>
  <c r="L185" i="24" s="1"/>
  <c r="J186" i="24" s="1"/>
  <c r="K186" i="24" s="1"/>
  <c r="L186" i="24" s="1"/>
  <c r="J187" i="24" s="1"/>
  <c r="K187" i="24" s="1"/>
  <c r="L187" i="24" s="1"/>
  <c r="J188" i="24" s="1"/>
  <c r="K188" i="24" s="1"/>
  <c r="L188" i="24" s="1"/>
  <c r="J189" i="24" s="1"/>
  <c r="K189" i="24" s="1"/>
  <c r="L189" i="24" s="1"/>
  <c r="J190" i="24" s="1"/>
  <c r="K190" i="24" s="1"/>
  <c r="L190" i="24" s="1"/>
  <c r="J191" i="24" s="1"/>
  <c r="K191" i="24" s="1"/>
  <c r="L191" i="24" s="1"/>
  <c r="J192" i="24" s="1"/>
  <c r="K192" i="24" s="1"/>
  <c r="L192" i="24" s="1"/>
  <c r="J193" i="24" s="1"/>
  <c r="K193" i="24" s="1"/>
  <c r="L193" i="24" s="1"/>
  <c r="J194" i="24" s="1"/>
  <c r="K194" i="24" s="1"/>
  <c r="L194" i="24" s="1"/>
  <c r="J195" i="24" s="1"/>
  <c r="K195" i="24" s="1"/>
  <c r="L195" i="24" s="1"/>
  <c r="J196" i="24" s="1"/>
  <c r="K196" i="24" s="1"/>
  <c r="L196" i="24" s="1"/>
  <c r="J197" i="24" s="1"/>
  <c r="K197" i="24" s="1"/>
  <c r="L197" i="24" s="1"/>
  <c r="J198" i="24" s="1"/>
  <c r="K198" i="24" s="1"/>
  <c r="L198" i="24" s="1"/>
  <c r="J199" i="24" s="1"/>
  <c r="K199" i="24" s="1"/>
  <c r="L199" i="24" s="1"/>
  <c r="J200" i="24" s="1"/>
  <c r="K200" i="24" s="1"/>
  <c r="L200" i="24" s="1"/>
  <c r="J201" i="24" s="1"/>
  <c r="K201" i="24" s="1"/>
  <c r="L201" i="24" s="1"/>
  <c r="J202" i="24" s="1"/>
  <c r="K202" i="24" s="1"/>
  <c r="L202" i="24" s="1"/>
  <c r="J203" i="24" s="1"/>
  <c r="K203" i="24" s="1"/>
  <c r="L203" i="24" s="1"/>
  <c r="J204" i="24" s="1"/>
  <c r="K204" i="24" s="1"/>
  <c r="L204" i="24" s="1"/>
  <c r="J205" i="24" s="1"/>
  <c r="K205" i="24" s="1"/>
  <c r="L205" i="24" s="1"/>
  <c r="J206" i="24" s="1"/>
  <c r="K206" i="24" s="1"/>
  <c r="L206" i="24" s="1"/>
  <c r="J207" i="24" s="1"/>
  <c r="K207" i="24" s="1"/>
  <c r="L207" i="24" s="1"/>
  <c r="ED51" i="1"/>
  <c r="ED50" i="1"/>
  <c r="EE50" i="1" s="1"/>
  <c r="EE51" i="1" l="1"/>
  <c r="J208" i="24"/>
  <c r="K208" i="24" s="1"/>
  <c r="L208" i="24" s="1"/>
  <c r="J209" i="24" l="1"/>
  <c r="K209" i="24" s="1"/>
  <c r="L209" i="24" s="1"/>
  <c r="J210" i="24" l="1"/>
  <c r="K210" i="24" s="1"/>
  <c r="L210" i="24" s="1"/>
  <c r="J211" i="24" l="1"/>
  <c r="K211" i="24" s="1"/>
  <c r="L211" i="24" s="1"/>
  <c r="J212" i="24" l="1"/>
  <c r="K212" i="24" s="1"/>
  <c r="L212" i="24" s="1"/>
  <c r="J213" i="24" l="1"/>
  <c r="K213" i="24" s="1"/>
  <c r="L213" i="24" s="1"/>
  <c r="J214" i="24" l="1"/>
  <c r="K214" i="24" s="1"/>
  <c r="L214" i="24" s="1"/>
  <c r="J215" i="24" l="1"/>
  <c r="K215" i="24" s="1"/>
  <c r="L215" i="24" s="1"/>
  <c r="J216" i="24" l="1"/>
  <c r="K216" i="24" s="1"/>
  <c r="L216" i="24" s="1"/>
  <c r="J217" i="24" l="1"/>
  <c r="K217" i="24" s="1"/>
  <c r="L217" i="24" s="1"/>
  <c r="J218" i="24" l="1"/>
  <c r="K218" i="24" s="1"/>
  <c r="L218" i="24" s="1"/>
  <c r="J219" i="24" l="1"/>
  <c r="K219" i="24" s="1"/>
  <c r="L219" i="24" s="1"/>
  <c r="J220" i="24" l="1"/>
  <c r="K220" i="24" s="1"/>
  <c r="L220" i="24" s="1"/>
  <c r="J221" i="24" l="1"/>
  <c r="K221" i="24" s="1"/>
  <c r="L221" i="24" s="1"/>
  <c r="J222" i="24" l="1"/>
  <c r="K222" i="24" s="1"/>
  <c r="L222" i="24" s="1"/>
  <c r="J223" i="24" l="1"/>
  <c r="K223" i="24" s="1"/>
  <c r="L223" i="24" s="1"/>
  <c r="J224" i="24" l="1"/>
  <c r="K224" i="24" s="1"/>
  <c r="L224" i="24" s="1"/>
  <c r="J225" i="24" l="1"/>
  <c r="K225" i="24" s="1"/>
  <c r="L225" i="24" s="1"/>
  <c r="J226" i="24" l="1"/>
  <c r="K226" i="24" s="1"/>
  <c r="L226" i="24" s="1"/>
  <c r="J227" i="24" l="1"/>
  <c r="K227" i="24" s="1"/>
  <c r="L227" i="24" s="1"/>
  <c r="J228" i="24" l="1"/>
  <c r="K228" i="24" s="1"/>
  <c r="L228" i="24" s="1"/>
  <c r="J229" i="24" l="1"/>
  <c r="K229" i="24" s="1"/>
  <c r="L229" i="24" s="1"/>
  <c r="J230" i="24" l="1"/>
  <c r="K230" i="24" s="1"/>
  <c r="L230" i="24" s="1"/>
  <c r="J231" i="24" l="1"/>
  <c r="K231" i="24" s="1"/>
  <c r="L231" i="24" s="1"/>
  <c r="J232" i="24" l="1"/>
  <c r="K232" i="24" s="1"/>
  <c r="L232" i="24" s="1"/>
  <c r="J233" i="24" l="1"/>
  <c r="K233" i="24" s="1"/>
  <c r="L233" i="24" s="1"/>
  <c r="J234" i="24" l="1"/>
  <c r="K234" i="24" s="1"/>
  <c r="L234" i="24" s="1"/>
  <c r="J235" i="24" l="1"/>
  <c r="K235" i="24" s="1"/>
  <c r="L235" i="24" s="1"/>
  <c r="J236" i="24" l="1"/>
  <c r="K236" i="24" s="1"/>
  <c r="L236" i="24" s="1"/>
  <c r="J237" i="24" l="1"/>
  <c r="K237" i="24" s="1"/>
  <c r="L237" i="24" s="1"/>
  <c r="J238" i="24" l="1"/>
  <c r="K238" i="24" s="1"/>
  <c r="L238" i="24" s="1"/>
  <c r="J239" i="24" l="1"/>
  <c r="K239" i="24" s="1"/>
  <c r="L239" i="24" s="1"/>
  <c r="J240" i="24" l="1"/>
  <c r="K240" i="24" s="1"/>
  <c r="L240" i="24" s="1"/>
  <c r="J241" i="24" l="1"/>
  <c r="K241" i="24" s="1"/>
  <c r="L241" i="24" s="1"/>
  <c r="J242" i="24" l="1"/>
  <c r="K242" i="24" s="1"/>
  <c r="L242" i="24" s="1"/>
  <c r="J243" i="24" l="1"/>
  <c r="K243" i="24" s="1"/>
  <c r="L243" i="24" s="1"/>
  <c r="J244" i="24" l="1"/>
  <c r="K244" i="24" s="1"/>
  <c r="L244" i="24" s="1"/>
  <c r="J245" i="24" l="1"/>
  <c r="K245" i="24" s="1"/>
  <c r="L245" i="24" s="1"/>
  <c r="J246" i="24" l="1"/>
  <c r="K246" i="24" s="1"/>
  <c r="L246" i="24" s="1"/>
  <c r="J247" i="24" l="1"/>
  <c r="K247" i="24" s="1"/>
  <c r="L247" i="24" s="1"/>
  <c r="J248" i="24" l="1"/>
  <c r="K248" i="24" s="1"/>
  <c r="L248" i="24" s="1"/>
  <c r="J249" i="24" l="1"/>
  <c r="K249" i="24" s="1"/>
  <c r="L249" i="24" s="1"/>
  <c r="J250" i="24" l="1"/>
  <c r="K250" i="24" s="1"/>
  <c r="L250" i="24" s="1"/>
  <c r="J251" i="24" l="1"/>
  <c r="K251" i="24" s="1"/>
  <c r="L251" i="24" s="1"/>
  <c r="J252" i="24" l="1"/>
  <c r="K252" i="24" s="1"/>
  <c r="L252" i="24" s="1"/>
  <c r="J253" i="24" l="1"/>
  <c r="K253" i="24" s="1"/>
  <c r="L253" i="24" s="1"/>
  <c r="J254" i="24" l="1"/>
  <c r="K254" i="24" s="1"/>
  <c r="L254" i="24" s="1"/>
  <c r="J255" i="24" l="1"/>
  <c r="K255" i="24" s="1"/>
  <c r="L255" i="24" s="1"/>
  <c r="J256" i="24" l="1"/>
  <c r="K256" i="24" s="1"/>
  <c r="L256" i="24" s="1"/>
  <c r="J257" i="24" l="1"/>
  <c r="K257" i="24" s="1"/>
  <c r="L257" i="24" s="1"/>
  <c r="J258" i="24" l="1"/>
  <c r="K258" i="24" s="1"/>
  <c r="L258" i="24" s="1"/>
  <c r="J259" i="24" l="1"/>
  <c r="K259" i="24" s="1"/>
  <c r="L259" i="24" s="1"/>
  <c r="J260" i="24" l="1"/>
  <c r="K260" i="24" s="1"/>
  <c r="L260" i="24" s="1"/>
  <c r="J261" i="24" l="1"/>
  <c r="K261" i="24" s="1"/>
  <c r="L261" i="24" s="1"/>
  <c r="J262" i="24" l="1"/>
  <c r="K262" i="24" s="1"/>
  <c r="L262" i="24" s="1"/>
  <c r="J263" i="24" l="1"/>
  <c r="K263" i="24" s="1"/>
  <c r="L263" i="24" s="1"/>
  <c r="J264" i="24" l="1"/>
  <c r="K264" i="24" s="1"/>
  <c r="L264" i="24" s="1"/>
  <c r="J265" i="24" l="1"/>
  <c r="K265" i="24" s="1"/>
  <c r="L265" i="24" s="1"/>
  <c r="J266" i="24" l="1"/>
  <c r="K266" i="24" s="1"/>
  <c r="L266" i="24" s="1"/>
  <c r="J267" i="24" l="1"/>
  <c r="K267" i="24" s="1"/>
  <c r="L267" i="24" s="1"/>
  <c r="J268" i="24" l="1"/>
  <c r="K268" i="24" s="1"/>
  <c r="L268" i="24" s="1"/>
  <c r="J269" i="24" l="1"/>
  <c r="K269" i="24" s="1"/>
  <c r="L269" i="24" s="1"/>
  <c r="J270" i="24" l="1"/>
  <c r="K270" i="24" s="1"/>
  <c r="L270" i="24" s="1"/>
  <c r="J271" i="24" l="1"/>
  <c r="K271" i="24" s="1"/>
  <c r="L271" i="24" s="1"/>
  <c r="J272" i="24" l="1"/>
  <c r="K272" i="24" s="1"/>
  <c r="L272" i="24" s="1"/>
  <c r="J273" i="24" l="1"/>
  <c r="K273" i="24" s="1"/>
  <c r="L273" i="24" s="1"/>
  <c r="J274" i="24" l="1"/>
  <c r="K274" i="24" s="1"/>
  <c r="L274" i="24" s="1"/>
  <c r="J275" i="24" l="1"/>
  <c r="K275" i="24" s="1"/>
  <c r="L275" i="24" s="1"/>
  <c r="J276" i="24" l="1"/>
  <c r="K276" i="24" s="1"/>
  <c r="L276" i="24" s="1"/>
  <c r="J277" i="24" l="1"/>
  <c r="K277" i="24" s="1"/>
  <c r="L277" i="24" s="1"/>
  <c r="J278" i="24" l="1"/>
  <c r="K278" i="24" s="1"/>
  <c r="L278" i="24" s="1"/>
  <c r="J279" i="24" l="1"/>
  <c r="K279" i="24" s="1"/>
  <c r="L279" i="24" s="1"/>
  <c r="J280" i="24" l="1"/>
  <c r="K280" i="24" s="1"/>
  <c r="L280" i="24" s="1"/>
  <c r="J281" i="24" l="1"/>
  <c r="K281" i="24" s="1"/>
  <c r="L281" i="24" s="1"/>
  <c r="J282" i="24" l="1"/>
  <c r="K282" i="24" s="1"/>
  <c r="L282" i="24" s="1"/>
  <c r="J283" i="24" l="1"/>
  <c r="K283" i="24" s="1"/>
  <c r="L283" i="24" s="1"/>
  <c r="J284" i="24" l="1"/>
  <c r="K284" i="24" s="1"/>
  <c r="L284" i="24" s="1"/>
  <c r="J285" i="24" l="1"/>
  <c r="K285" i="24" s="1"/>
  <c r="L285" i="24" s="1"/>
  <c r="J286" i="24" l="1"/>
  <c r="K286" i="24" s="1"/>
  <c r="L286" i="24" s="1"/>
  <c r="J287" i="24" l="1"/>
  <c r="K287" i="24" s="1"/>
  <c r="L287" i="24" s="1"/>
  <c r="J288" i="24" l="1"/>
  <c r="K288" i="24" s="1"/>
  <c r="L288" i="24" s="1"/>
  <c r="J289" i="24" l="1"/>
  <c r="K289" i="24" s="1"/>
  <c r="L289" i="24" s="1"/>
  <c r="J290" i="24" l="1"/>
  <c r="K290" i="24" s="1"/>
  <c r="L290" i="24" s="1"/>
  <c r="J291" i="24" l="1"/>
  <c r="K291" i="24" s="1"/>
  <c r="L291" i="24" s="1"/>
  <c r="J292" i="24" l="1"/>
  <c r="K292" i="24" s="1"/>
  <c r="L292" i="24" s="1"/>
  <c r="J293" i="24" l="1"/>
  <c r="K293" i="24" s="1"/>
  <c r="L293" i="24" s="1"/>
  <c r="J294" i="24" l="1"/>
  <c r="K294" i="24" s="1"/>
  <c r="L294" i="24" s="1"/>
  <c r="J295" i="24" l="1"/>
  <c r="K295" i="24" s="1"/>
  <c r="L295" i="24" s="1"/>
  <c r="J296" i="24" l="1"/>
  <c r="K296" i="24" s="1"/>
  <c r="L296" i="24" s="1"/>
  <c r="J297" i="24" l="1"/>
  <c r="K297" i="24" s="1"/>
  <c r="L297" i="24" s="1"/>
  <c r="J298" i="24" l="1"/>
  <c r="K298" i="24" s="1"/>
  <c r="L298" i="24" s="1"/>
  <c r="J299" i="24" l="1"/>
  <c r="K299" i="24" s="1"/>
  <c r="L299" i="24" s="1"/>
  <c r="J300" i="24" l="1"/>
  <c r="K300" i="24" s="1"/>
  <c r="L300" i="24" s="1"/>
  <c r="J301" i="24" l="1"/>
  <c r="K301" i="24" s="1"/>
  <c r="L301" i="24" s="1"/>
  <c r="J302" i="24" l="1"/>
  <c r="K302" i="24" s="1"/>
  <c r="L302" i="24" s="1"/>
  <c r="J303" i="24" l="1"/>
  <c r="K303" i="24" s="1"/>
  <c r="L303" i="24" s="1"/>
  <c r="J304" i="24" l="1"/>
  <c r="K304" i="24" s="1"/>
  <c r="L304" i="24" s="1"/>
  <c r="J305" i="24" l="1"/>
  <c r="K305" i="24" s="1"/>
  <c r="L305" i="24" s="1"/>
  <c r="J306" i="24" l="1"/>
  <c r="K306" i="24" s="1"/>
  <c r="L306" i="24" s="1"/>
  <c r="J307" i="24" l="1"/>
  <c r="K307" i="24" s="1"/>
  <c r="L307" i="24" s="1"/>
  <c r="J308" i="24" l="1"/>
  <c r="K308" i="24" s="1"/>
  <c r="L308" i="24" s="1"/>
  <c r="J309" i="24" l="1"/>
  <c r="K309" i="24" s="1"/>
  <c r="L309" i="24" s="1"/>
  <c r="J310" i="24" l="1"/>
  <c r="K310" i="24" s="1"/>
  <c r="L310" i="24" s="1"/>
  <c r="J311" i="24" l="1"/>
  <c r="K311" i="24" s="1"/>
  <c r="L311" i="24" s="1"/>
  <c r="J312" i="24" l="1"/>
  <c r="K312" i="24" s="1"/>
  <c r="L312" i="24" s="1"/>
  <c r="J313" i="24" l="1"/>
  <c r="K313" i="24" s="1"/>
  <c r="L313" i="24" s="1"/>
  <c r="J314" i="24" l="1"/>
  <c r="K314" i="24" s="1"/>
  <c r="L314" i="24" s="1"/>
  <c r="J315" i="24" l="1"/>
  <c r="K315" i="24" s="1"/>
  <c r="L315" i="24" s="1"/>
  <c r="J316" i="24" l="1"/>
  <c r="K316" i="24" s="1"/>
  <c r="L316" i="24" s="1"/>
  <c r="J317" i="24" l="1"/>
  <c r="K317" i="24" s="1"/>
  <c r="L317" i="24" s="1"/>
  <c r="J318" i="24" l="1"/>
  <c r="K318" i="24" s="1"/>
  <c r="L318" i="24" s="1"/>
  <c r="J319" i="24" l="1"/>
  <c r="K319" i="24" s="1"/>
  <c r="L319" i="24" s="1"/>
  <c r="J320" i="24" l="1"/>
  <c r="K320" i="24" s="1"/>
  <c r="L320" i="24" s="1"/>
  <c r="J321" i="24" l="1"/>
  <c r="K321" i="24" s="1"/>
  <c r="L321" i="24" s="1"/>
  <c r="J322" i="24" l="1"/>
  <c r="K322" i="24" s="1"/>
  <c r="L322" i="24" s="1"/>
  <c r="J323" i="24" l="1"/>
  <c r="K323" i="24" s="1"/>
  <c r="L323" i="24" s="1"/>
  <c r="J324" i="24" l="1"/>
  <c r="K324" i="24" s="1"/>
  <c r="L324" i="24" s="1"/>
  <c r="J325" i="24" l="1"/>
  <c r="K325" i="24" s="1"/>
  <c r="L325" i="24" s="1"/>
  <c r="J326" i="24" l="1"/>
  <c r="K326" i="24" s="1"/>
  <c r="L326" i="24" s="1"/>
  <c r="J327" i="24" l="1"/>
  <c r="K327" i="24" s="1"/>
  <c r="L327" i="24" s="1"/>
  <c r="J328" i="24" l="1"/>
  <c r="K328" i="24" s="1"/>
  <c r="L328" i="24" s="1"/>
  <c r="J329" i="24" l="1"/>
  <c r="K329" i="24" s="1"/>
  <c r="L329" i="24" s="1"/>
  <c r="J330" i="24" l="1"/>
  <c r="K330" i="24" s="1"/>
  <c r="L330" i="24" s="1"/>
  <c r="J331" i="24" l="1"/>
  <c r="K331" i="24" s="1"/>
  <c r="L331" i="24" s="1"/>
  <c r="J332" i="24" l="1"/>
  <c r="K332" i="24" s="1"/>
  <c r="L332" i="24" s="1"/>
  <c r="J333" i="24" l="1"/>
  <c r="K333" i="24" s="1"/>
  <c r="L333" i="24" s="1"/>
  <c r="J334" i="24" l="1"/>
  <c r="K334" i="24" s="1"/>
  <c r="L334" i="24" s="1"/>
  <c r="J335" i="24" l="1"/>
  <c r="K335" i="24" s="1"/>
  <c r="L335" i="24" s="1"/>
  <c r="J336" i="24" l="1"/>
  <c r="K336" i="24" s="1"/>
  <c r="L336" i="24" s="1"/>
  <c r="J337" i="24" l="1"/>
  <c r="K337" i="24" s="1"/>
  <c r="L337" i="24" s="1"/>
  <c r="J338" i="24" l="1"/>
  <c r="K338" i="24" s="1"/>
  <c r="L338" i="24" s="1"/>
  <c r="J339" i="24" l="1"/>
  <c r="K339" i="24" s="1"/>
  <c r="L339" i="24" s="1"/>
  <c r="J340" i="24" l="1"/>
  <c r="K340" i="24" s="1"/>
  <c r="L340" i="24" s="1"/>
  <c r="J341" i="24" l="1"/>
  <c r="K341" i="24" s="1"/>
  <c r="L341" i="24" s="1"/>
  <c r="J342" i="24" l="1"/>
  <c r="K342" i="24" s="1"/>
  <c r="L342" i="24" s="1"/>
  <c r="J343" i="24" l="1"/>
  <c r="K343" i="24" s="1"/>
  <c r="L343" i="24" s="1"/>
  <c r="J344" i="24" l="1"/>
  <c r="K344" i="24" s="1"/>
  <c r="L344" i="24" s="1"/>
  <c r="J345" i="24" l="1"/>
  <c r="K345" i="24" s="1"/>
  <c r="L345" i="24" s="1"/>
  <c r="J346" i="24" l="1"/>
  <c r="K346" i="24" s="1"/>
  <c r="L346" i="24" s="1"/>
  <c r="J347" i="24" l="1"/>
  <c r="K347" i="24" s="1"/>
  <c r="L347" i="24" s="1"/>
  <c r="J348" i="24" l="1"/>
  <c r="K348" i="24" s="1"/>
  <c r="L348" i="24" s="1"/>
  <c r="J349" i="24" l="1"/>
  <c r="K349" i="24" s="1"/>
  <c r="L349" i="24" s="1"/>
  <c r="J350" i="24" l="1"/>
  <c r="K350" i="24" s="1"/>
  <c r="L350" i="24" s="1"/>
  <c r="J351" i="24" l="1"/>
  <c r="K351" i="24" s="1"/>
  <c r="L351" i="24" s="1"/>
  <c r="J352" i="24" l="1"/>
  <c r="K352" i="24" s="1"/>
  <c r="L352" i="24" s="1"/>
  <c r="J353" i="24" l="1"/>
  <c r="K353" i="24" s="1"/>
  <c r="L353" i="24" s="1"/>
  <c r="J354" i="24" l="1"/>
  <c r="K354" i="24" s="1"/>
  <c r="L354" i="24" s="1"/>
  <c r="J355" i="24" l="1"/>
  <c r="K355" i="24" s="1"/>
  <c r="L355" i="24" s="1"/>
  <c r="J356" i="24" l="1"/>
  <c r="K356" i="24" s="1"/>
  <c r="L356" i="24" s="1"/>
  <c r="J357" i="24" l="1"/>
  <c r="K357" i="24" s="1"/>
  <c r="L357" i="24" s="1"/>
  <c r="J358" i="24" l="1"/>
  <c r="K358" i="24" s="1"/>
  <c r="L358" i="24" s="1"/>
  <c r="J359" i="24" l="1"/>
  <c r="K359" i="24" s="1"/>
  <c r="L359" i="24" s="1"/>
  <c r="J360" i="24" l="1"/>
  <c r="K360" i="24" s="1"/>
  <c r="L360" i="24" s="1"/>
  <c r="J361" i="24" l="1"/>
  <c r="K361" i="24" s="1"/>
  <c r="L361" i="24" s="1"/>
  <c r="J362" i="24" l="1"/>
  <c r="K362" i="24" s="1"/>
  <c r="L362" i="24" s="1"/>
  <c r="J363" i="24" l="1"/>
  <c r="K363" i="24" s="1"/>
  <c r="L363" i="24" s="1"/>
  <c r="J364" i="24" l="1"/>
  <c r="K364" i="24" s="1"/>
  <c r="L364" i="24" s="1"/>
  <c r="J365" i="24" l="1"/>
  <c r="K365" i="24" s="1"/>
  <c r="L365" i="24" s="1"/>
  <c r="J366" i="24" l="1"/>
  <c r="K366" i="24" s="1"/>
  <c r="L366" i="24" s="1"/>
  <c r="J367" i="24" l="1"/>
  <c r="K367" i="24" s="1"/>
  <c r="L367" i="24" s="1"/>
  <c r="J368" i="24" l="1"/>
  <c r="K368" i="24" s="1"/>
  <c r="L368" i="24" s="1"/>
  <c r="J369" i="24" l="1"/>
  <c r="K369" i="24" s="1"/>
  <c r="L369" i="24" s="1"/>
  <c r="J370" i="24" l="1"/>
  <c r="K370" i="24" s="1"/>
  <c r="L370" i="24" s="1"/>
  <c r="J371" i="24" l="1"/>
  <c r="K371" i="24" s="1"/>
  <c r="L371" i="24" s="1"/>
  <c r="J372" i="24" l="1"/>
  <c r="K372" i="24" s="1"/>
  <c r="L372" i="24" s="1"/>
  <c r="J373" i="24" l="1"/>
  <c r="K373" i="24" s="1"/>
  <c r="L373" i="24" s="1"/>
  <c r="J374" i="24" l="1"/>
  <c r="K374" i="24" s="1"/>
  <c r="L374" i="24" s="1"/>
  <c r="J10" i="16" l="1"/>
  <c r="AX52" i="1" l="1"/>
  <c r="AX53" i="1" s="1"/>
  <c r="BD52" i="1"/>
  <c r="BD53" i="1" s="1"/>
  <c r="AK52" i="1"/>
  <c r="AK53" i="1" l="1"/>
  <c r="BE53" i="1"/>
  <c r="BE52" i="1"/>
  <c r="AD52" i="1"/>
  <c r="AE52" i="1" s="1"/>
  <c r="I21" i="17" l="1"/>
  <c r="G20" i="25"/>
  <c r="AD53" i="1"/>
  <c r="AE53" i="1" l="1"/>
  <c r="G21" i="17" l="1"/>
  <c r="E20" i="25"/>
  <c r="G7" i="16" l="1"/>
  <c r="D5" i="18" l="1"/>
  <c r="D32" i="18" s="1"/>
  <c r="D28" i="19"/>
  <c r="D29" i="19" s="1"/>
  <c r="D30" i="19" l="1"/>
  <c r="C8" i="24"/>
  <c r="C9" i="24"/>
  <c r="D9" i="24" s="1"/>
  <c r="D34" i="18"/>
  <c r="D23" i="18"/>
  <c r="D33" i="18" s="1"/>
  <c r="C7" i="24" l="1"/>
  <c r="F47" i="3" s="1"/>
  <c r="D14" i="24"/>
  <c r="E14" i="24" l="1"/>
  <c r="C15" i="24" l="1"/>
  <c r="D15" i="24" s="1"/>
  <c r="E15" i="24" s="1"/>
  <c r="F46" i="1"/>
  <c r="F44" i="1" l="1"/>
  <c r="F43" i="1"/>
  <c r="F60" i="1"/>
  <c r="C16" i="24"/>
  <c r="D16" i="24" s="1"/>
  <c r="E16" i="24" s="1"/>
  <c r="G46" i="1"/>
  <c r="D10" i="16" l="1"/>
  <c r="P11" i="16"/>
  <c r="F45" i="1"/>
  <c r="F57" i="1" s="1"/>
  <c r="F59" i="1"/>
  <c r="O11" i="16"/>
  <c r="C17" i="24"/>
  <c r="D17" i="24" s="1"/>
  <c r="E17" i="24" s="1"/>
  <c r="H46" i="1"/>
  <c r="G43" i="1"/>
  <c r="G44" i="1"/>
  <c r="G60" i="1"/>
  <c r="I46" i="1" l="1"/>
  <c r="C18" i="24"/>
  <c r="D18" i="24" s="1"/>
  <c r="E18" i="24" s="1"/>
  <c r="F42" i="1"/>
  <c r="D11" i="16" s="1"/>
  <c r="H43" i="1"/>
  <c r="H44" i="1"/>
  <c r="H60" i="1"/>
  <c r="G59" i="1"/>
  <c r="G45" i="1"/>
  <c r="G57" i="1" l="1"/>
  <c r="H59" i="1"/>
  <c r="H45" i="1"/>
  <c r="H57" i="1" s="1"/>
  <c r="J46" i="1"/>
  <c r="C19" i="24"/>
  <c r="D19" i="24" s="1"/>
  <c r="E19" i="24" s="1"/>
  <c r="G42" i="1"/>
  <c r="I44" i="1"/>
  <c r="I43" i="1"/>
  <c r="I60" i="1"/>
  <c r="K46" i="1" l="1"/>
  <c r="C20" i="24"/>
  <c r="D20" i="24" s="1"/>
  <c r="E20" i="24" s="1"/>
  <c r="J43" i="1"/>
  <c r="J60" i="1"/>
  <c r="J44" i="1"/>
  <c r="H42" i="1"/>
  <c r="I59" i="1"/>
  <c r="I45" i="1"/>
  <c r="I57" i="1" s="1"/>
  <c r="J45" i="1" l="1"/>
  <c r="J57" i="1" s="1"/>
  <c r="J59" i="1"/>
  <c r="C21" i="24"/>
  <c r="D21" i="24" s="1"/>
  <c r="E21" i="24" s="1"/>
  <c r="L46" i="1"/>
  <c r="I42" i="1"/>
  <c r="K43" i="1"/>
  <c r="K44" i="1"/>
  <c r="K60" i="1"/>
  <c r="K45" i="1" l="1"/>
  <c r="K57" i="1" s="1"/>
  <c r="K59" i="1"/>
  <c r="C22" i="24"/>
  <c r="D22" i="24" s="1"/>
  <c r="E22" i="24" s="1"/>
  <c r="M46" i="1"/>
  <c r="L43" i="1"/>
  <c r="L60" i="1"/>
  <c r="L44" i="1"/>
  <c r="J42" i="1"/>
  <c r="L59" i="1" l="1"/>
  <c r="L45" i="1"/>
  <c r="L57" i="1" s="1"/>
  <c r="C23" i="24"/>
  <c r="D23" i="24" s="1"/>
  <c r="E23" i="24" s="1"/>
  <c r="N46" i="1"/>
  <c r="M43" i="1"/>
  <c r="M44" i="1"/>
  <c r="M60" i="1"/>
  <c r="K42" i="1"/>
  <c r="C24" i="24" l="1"/>
  <c r="D24" i="24" s="1"/>
  <c r="E24" i="24" s="1"/>
  <c r="O46" i="1"/>
  <c r="M45" i="1"/>
  <c r="M57" i="1" s="1"/>
  <c r="M59" i="1"/>
  <c r="L42" i="1"/>
  <c r="N60" i="1"/>
  <c r="N44" i="1"/>
  <c r="N43" i="1"/>
  <c r="C25" i="24" l="1"/>
  <c r="D25" i="24" s="1"/>
  <c r="E25" i="24" s="1"/>
  <c r="P46" i="1"/>
  <c r="M42" i="1"/>
  <c r="O60" i="1"/>
  <c r="O43" i="1"/>
  <c r="O44" i="1"/>
  <c r="N45" i="1"/>
  <c r="N57" i="1" s="1"/>
  <c r="N59" i="1"/>
  <c r="N42" i="1" l="1"/>
  <c r="O59" i="1"/>
  <c r="O45" i="1"/>
  <c r="O57" i="1" s="1"/>
  <c r="P44" i="1"/>
  <c r="P43" i="1"/>
  <c r="P60" i="1"/>
  <c r="Q46" i="1"/>
  <c r="C26" i="24"/>
  <c r="D26" i="24" s="1"/>
  <c r="E26" i="24" s="1"/>
  <c r="Q44" i="1" l="1"/>
  <c r="R44" i="1" s="1"/>
  <c r="Q60" i="1"/>
  <c r="R46" i="1"/>
  <c r="Q43" i="1"/>
  <c r="P59" i="1"/>
  <c r="P45" i="1"/>
  <c r="P57" i="1" s="1"/>
  <c r="O42" i="1"/>
  <c r="C27" i="24"/>
  <c r="D27" i="24" s="1"/>
  <c r="E27" i="24" s="1"/>
  <c r="S46" i="1"/>
  <c r="R43" i="1" l="1"/>
  <c r="Q45" i="1"/>
  <c r="Q57" i="1" s="1"/>
  <c r="Q59" i="1"/>
  <c r="P42" i="1"/>
  <c r="S60" i="1"/>
  <c r="S44" i="1"/>
  <c r="S43" i="1"/>
  <c r="E28" i="19"/>
  <c r="R60" i="1"/>
  <c r="T46" i="1"/>
  <c r="C28" i="24"/>
  <c r="D28" i="24" s="1"/>
  <c r="E28" i="24" s="1"/>
  <c r="S45" i="1" l="1"/>
  <c r="S57" i="1" s="1"/>
  <c r="S59" i="1"/>
  <c r="C29" i="24"/>
  <c r="D29" i="24" s="1"/>
  <c r="E29" i="24" s="1"/>
  <c r="U46" i="1"/>
  <c r="T44" i="1"/>
  <c r="T43" i="1"/>
  <c r="T60" i="1"/>
  <c r="Q42" i="1"/>
  <c r="R45" i="1"/>
  <c r="R57" i="1" s="1"/>
  <c r="E30" i="19"/>
  <c r="E29" i="19"/>
  <c r="O12" i="16"/>
  <c r="D25" i="19"/>
  <c r="D21" i="19"/>
  <c r="D26" i="19" s="1"/>
  <c r="R59" i="1"/>
  <c r="D12" i="16" s="1"/>
  <c r="D23" i="19"/>
  <c r="E21" i="19"/>
  <c r="E26" i="19" s="1"/>
  <c r="E25" i="19"/>
  <c r="E23" i="19"/>
  <c r="P12" i="16"/>
  <c r="D17" i="25" l="1"/>
  <c r="D19" i="25" s="1"/>
  <c r="U44" i="1"/>
  <c r="U43" i="1"/>
  <c r="U60" i="1"/>
  <c r="C30" i="24"/>
  <c r="D30" i="24" s="1"/>
  <c r="E30" i="24" s="1"/>
  <c r="V46" i="1"/>
  <c r="R42" i="1"/>
  <c r="T45" i="1"/>
  <c r="T57" i="1" s="1"/>
  <c r="T59" i="1"/>
  <c r="S42" i="1"/>
  <c r="R58" i="1" l="1"/>
  <c r="F20" i="17"/>
  <c r="W46" i="1"/>
  <c r="C31" i="24"/>
  <c r="D31" i="24" s="1"/>
  <c r="E31" i="24" s="1"/>
  <c r="V60" i="1"/>
  <c r="V43" i="1"/>
  <c r="V44" i="1"/>
  <c r="T42" i="1"/>
  <c r="U45" i="1"/>
  <c r="U57" i="1" s="1"/>
  <c r="U59" i="1"/>
  <c r="D13" i="16"/>
  <c r="D18" i="25"/>
  <c r="X46" i="1" l="1"/>
  <c r="C32" i="24"/>
  <c r="D32" i="24" s="1"/>
  <c r="E32" i="24" s="1"/>
  <c r="V45" i="1"/>
  <c r="V57" i="1" s="1"/>
  <c r="V59" i="1"/>
  <c r="W43" i="1"/>
  <c r="W60" i="1"/>
  <c r="W44" i="1"/>
  <c r="U42" i="1"/>
  <c r="V42" i="1" l="1"/>
  <c r="W45" i="1"/>
  <c r="W57" i="1" s="1"/>
  <c r="W59" i="1"/>
  <c r="C33" i="24"/>
  <c r="D33" i="24" s="1"/>
  <c r="E33" i="24" s="1"/>
  <c r="Y46" i="1"/>
  <c r="X60" i="1"/>
  <c r="X44" i="1"/>
  <c r="X43" i="1"/>
  <c r="W42" i="1" l="1"/>
  <c r="Y44" i="1"/>
  <c r="Y43" i="1"/>
  <c r="Y60" i="1"/>
  <c r="C34" i="24"/>
  <c r="D34" i="24" s="1"/>
  <c r="E34" i="24" s="1"/>
  <c r="Z46" i="1"/>
  <c r="X59" i="1"/>
  <c r="X45" i="1"/>
  <c r="X57" i="1" s="1"/>
  <c r="Z44" i="1" l="1"/>
  <c r="Z60" i="1"/>
  <c r="Z43" i="1"/>
  <c r="C35" i="24"/>
  <c r="D35" i="24" s="1"/>
  <c r="E35" i="24" s="1"/>
  <c r="AA46" i="1"/>
  <c r="Y59" i="1"/>
  <c r="Y45" i="1"/>
  <c r="Y57" i="1" s="1"/>
  <c r="X61" i="1"/>
  <c r="X42" i="1"/>
  <c r="Z59" i="1" l="1"/>
  <c r="Z45" i="1"/>
  <c r="Z57" i="1" s="1"/>
  <c r="Y61" i="1"/>
  <c r="Y42" i="1"/>
  <c r="AB46" i="1"/>
  <c r="C36" i="24"/>
  <c r="D36" i="24" s="1"/>
  <c r="E36" i="24" s="1"/>
  <c r="AA60" i="1"/>
  <c r="AA44" i="1"/>
  <c r="AA43" i="1"/>
  <c r="AC46" i="1" l="1"/>
  <c r="C37" i="24"/>
  <c r="D37" i="24" s="1"/>
  <c r="E37" i="24" s="1"/>
  <c r="AA59" i="1"/>
  <c r="AA45" i="1"/>
  <c r="AA57" i="1" s="1"/>
  <c r="AB44" i="1"/>
  <c r="AB60" i="1"/>
  <c r="AB43" i="1"/>
  <c r="Z61" i="1"/>
  <c r="Z42" i="1"/>
  <c r="AB45" i="1" l="1"/>
  <c r="AB57" i="1" s="1"/>
  <c r="AB59" i="1"/>
  <c r="AA61" i="1"/>
  <c r="AA42" i="1"/>
  <c r="AD46" i="1"/>
  <c r="C38" i="24"/>
  <c r="D38" i="24" s="1"/>
  <c r="E38" i="24" s="1"/>
  <c r="AC60" i="1"/>
  <c r="AC44" i="1"/>
  <c r="AC43" i="1"/>
  <c r="AD43" i="1" l="1"/>
  <c r="AD60" i="1"/>
  <c r="AD44" i="1"/>
  <c r="AE44" i="1" s="1"/>
  <c r="AE46" i="1"/>
  <c r="H28" i="19" s="1"/>
  <c r="AF46" i="1"/>
  <c r="C39" i="24"/>
  <c r="D39" i="24" s="1"/>
  <c r="E39" i="24" s="1"/>
  <c r="AC59" i="1"/>
  <c r="AC45" i="1"/>
  <c r="AC57" i="1" s="1"/>
  <c r="AB61" i="1"/>
  <c r="AB42" i="1"/>
  <c r="H29" i="19" l="1"/>
  <c r="H30" i="19"/>
  <c r="C40" i="24"/>
  <c r="D40" i="24" s="1"/>
  <c r="E40" i="24" s="1"/>
  <c r="AG46" i="1"/>
  <c r="AC61" i="1"/>
  <c r="AC42" i="1"/>
  <c r="AF44" i="1"/>
  <c r="AF43" i="1"/>
  <c r="AD59" i="1"/>
  <c r="AE43" i="1"/>
  <c r="AD45" i="1"/>
  <c r="AD57" i="1" s="1"/>
  <c r="AG44" i="1" l="1"/>
  <c r="AG43" i="1"/>
  <c r="P13" i="16"/>
  <c r="O13" i="16"/>
  <c r="H21" i="19"/>
  <c r="H26" i="19" s="1"/>
  <c r="H25" i="19"/>
  <c r="AE60" i="1"/>
  <c r="H23" i="19"/>
  <c r="C41" i="24"/>
  <c r="D41" i="24" s="1"/>
  <c r="E41" i="24" s="1"/>
  <c r="AH46" i="1"/>
  <c r="AD61" i="1"/>
  <c r="AE45" i="1"/>
  <c r="AD42" i="1"/>
  <c r="AF60" i="1"/>
  <c r="AF45" i="1"/>
  <c r="AF57" i="1" s="1"/>
  <c r="AE57" i="1" l="1"/>
  <c r="AE58" i="1" s="1"/>
  <c r="E17" i="25"/>
  <c r="E19" i="25" s="1"/>
  <c r="AF61" i="1"/>
  <c r="AF59" i="1"/>
  <c r="AF42" i="1"/>
  <c r="AH43" i="1"/>
  <c r="AH44" i="1"/>
  <c r="AG60" i="1"/>
  <c r="AG45" i="1"/>
  <c r="AG57" i="1" s="1"/>
  <c r="AE61" i="1"/>
  <c r="AE42" i="1"/>
  <c r="E18" i="25" s="1"/>
  <c r="AE59" i="1"/>
  <c r="C42" i="24"/>
  <c r="D42" i="24" s="1"/>
  <c r="E42" i="24" s="1"/>
  <c r="AI46" i="1"/>
  <c r="AG61" i="1" l="1"/>
  <c r="AG59" i="1"/>
  <c r="AG42" i="1"/>
  <c r="E24" i="25"/>
  <c r="C43" i="24"/>
  <c r="D43" i="24" s="1"/>
  <c r="E43" i="24" s="1"/>
  <c r="AJ46" i="1"/>
  <c r="AI44" i="1"/>
  <c r="AI43" i="1"/>
  <c r="AH60" i="1"/>
  <c r="AH45" i="1"/>
  <c r="AH57" i="1" s="1"/>
  <c r="AJ43" i="1" l="1"/>
  <c r="AJ44" i="1"/>
  <c r="AK46" i="1"/>
  <c r="C44" i="24"/>
  <c r="D44" i="24" s="1"/>
  <c r="E44" i="24" s="1"/>
  <c r="AH61" i="1"/>
  <c r="AH42" i="1"/>
  <c r="AH59" i="1"/>
  <c r="AI45" i="1"/>
  <c r="AI57" i="1" s="1"/>
  <c r="AI60" i="1"/>
  <c r="C45" i="24" l="1"/>
  <c r="D45" i="24" s="1"/>
  <c r="E45" i="24" s="1"/>
  <c r="AL46" i="1"/>
  <c r="AK44" i="1"/>
  <c r="AK43" i="1"/>
  <c r="AI61" i="1"/>
  <c r="AI42" i="1"/>
  <c r="AI59" i="1"/>
  <c r="AJ60" i="1"/>
  <c r="AJ45" i="1"/>
  <c r="AJ57" i="1" s="1"/>
  <c r="AK60" i="1" l="1"/>
  <c r="AK45" i="1"/>
  <c r="AK57" i="1" s="1"/>
  <c r="AL44" i="1"/>
  <c r="AL43" i="1"/>
  <c r="AJ61" i="1"/>
  <c r="AJ42" i="1"/>
  <c r="AJ59" i="1"/>
  <c r="C46" i="24"/>
  <c r="D46" i="24" s="1"/>
  <c r="E46" i="24" s="1"/>
  <c r="AM46" i="1"/>
  <c r="AL60" i="1" l="1"/>
  <c r="AL45" i="1"/>
  <c r="AL57" i="1" s="1"/>
  <c r="AM43" i="1"/>
  <c r="AM44" i="1"/>
  <c r="AK61" i="1"/>
  <c r="AK59" i="1"/>
  <c r="AK42" i="1"/>
  <c r="C47" i="24"/>
  <c r="D47" i="24" s="1"/>
  <c r="E47" i="24" s="1"/>
  <c r="AN46" i="1"/>
  <c r="AM60" i="1" l="1"/>
  <c r="AM45" i="1"/>
  <c r="AM57" i="1" s="1"/>
  <c r="AN44" i="1"/>
  <c r="AN43" i="1"/>
  <c r="AL61" i="1"/>
  <c r="AL42" i="1"/>
  <c r="AL59" i="1"/>
  <c r="C48" i="24"/>
  <c r="D48" i="24" s="1"/>
  <c r="E48" i="24" s="1"/>
  <c r="AO46" i="1"/>
  <c r="AN45" i="1" l="1"/>
  <c r="AN57" i="1" s="1"/>
  <c r="AN60" i="1"/>
  <c r="AO44" i="1"/>
  <c r="AO43" i="1"/>
  <c r="AM61" i="1"/>
  <c r="AM42" i="1"/>
  <c r="AM59" i="1"/>
  <c r="C49" i="24"/>
  <c r="D49" i="24" s="1"/>
  <c r="E49" i="24" s="1"/>
  <c r="AP46" i="1"/>
  <c r="AO45" i="1" l="1"/>
  <c r="AO57" i="1" s="1"/>
  <c r="AO60" i="1"/>
  <c r="AP43" i="1"/>
  <c r="AP44" i="1"/>
  <c r="L8" i="24"/>
  <c r="AQ46" i="1"/>
  <c r="C50" i="24"/>
  <c r="D50" i="24" s="1"/>
  <c r="E50" i="24" s="1"/>
  <c r="AN61" i="1"/>
  <c r="AN42" i="1"/>
  <c r="AN59" i="1"/>
  <c r="L9" i="24" l="1"/>
  <c r="AQ52" i="1" s="1"/>
  <c r="AR52" i="1" s="1"/>
  <c r="D43" i="25"/>
  <c r="C51" i="24"/>
  <c r="D51" i="24" s="1"/>
  <c r="E51" i="24" s="1"/>
  <c r="AS46" i="1"/>
  <c r="AR46" i="1"/>
  <c r="I28" i="19" s="1"/>
  <c r="AQ44" i="1"/>
  <c r="AR44" i="1" s="1"/>
  <c r="AQ43" i="1"/>
  <c r="AP60" i="1"/>
  <c r="AP45" i="1"/>
  <c r="AP57" i="1" s="1"/>
  <c r="AO61" i="1"/>
  <c r="AO42" i="1"/>
  <c r="AO59" i="1"/>
  <c r="D45" i="25" l="1"/>
  <c r="D46" i="25" s="1"/>
  <c r="AQ53" i="1"/>
  <c r="AR53" i="1" s="1"/>
  <c r="AQ45" i="1"/>
  <c r="AQ57" i="1" s="1"/>
  <c r="AR43" i="1"/>
  <c r="AQ60" i="1"/>
  <c r="AS43" i="1"/>
  <c r="AS44" i="1"/>
  <c r="I30" i="19"/>
  <c r="L23" i="19"/>
  <c r="L24" i="19" s="1"/>
  <c r="I29" i="19"/>
  <c r="AP61" i="1"/>
  <c r="AP59" i="1"/>
  <c r="AP42" i="1"/>
  <c r="C52" i="24"/>
  <c r="D52" i="24" s="1"/>
  <c r="E52" i="24" s="1"/>
  <c r="AT46" i="1"/>
  <c r="D47" i="25" l="1"/>
  <c r="D49" i="25" s="1"/>
  <c r="F20" i="25"/>
  <c r="H21" i="17"/>
  <c r="AT43" i="1"/>
  <c r="AT44" i="1"/>
  <c r="C53" i="24"/>
  <c r="D53" i="24" s="1"/>
  <c r="E53" i="24" s="1"/>
  <c r="AU46" i="1"/>
  <c r="I23" i="19"/>
  <c r="I21" i="19"/>
  <c r="I26" i="19" s="1"/>
  <c r="AR60" i="1"/>
  <c r="I25" i="19"/>
  <c r="AS45" i="1"/>
  <c r="AS57" i="1" s="1"/>
  <c r="AS60" i="1"/>
  <c r="AQ61" i="1"/>
  <c r="AQ59" i="1"/>
  <c r="AQ42" i="1"/>
  <c r="AR45" i="1"/>
  <c r="AR57" i="1" l="1"/>
  <c r="AR58" i="1" s="1"/>
  <c r="F17" i="25"/>
  <c r="F19" i="25" s="1"/>
  <c r="AU44" i="1"/>
  <c r="AU43" i="1"/>
  <c r="AR61" i="1"/>
  <c r="AR59" i="1"/>
  <c r="AR42" i="1"/>
  <c r="F18" i="25" s="1"/>
  <c r="C54" i="24"/>
  <c r="D54" i="24" s="1"/>
  <c r="E54" i="24" s="1"/>
  <c r="AV46" i="1"/>
  <c r="AS61" i="1"/>
  <c r="AS42" i="1"/>
  <c r="AS59" i="1"/>
  <c r="AT45" i="1"/>
  <c r="AT57" i="1" s="1"/>
  <c r="AT60" i="1"/>
  <c r="AT61" i="1" l="1"/>
  <c r="AT59" i="1"/>
  <c r="AT42" i="1"/>
  <c r="AU45" i="1"/>
  <c r="AU57" i="1" s="1"/>
  <c r="AU60" i="1"/>
  <c r="C55" i="24"/>
  <c r="D55" i="24" s="1"/>
  <c r="E55" i="24" s="1"/>
  <c r="AW46" i="1"/>
  <c r="AV43" i="1"/>
  <c r="AV44" i="1"/>
  <c r="AW44" i="1" l="1"/>
  <c r="AW43" i="1"/>
  <c r="C56" i="24"/>
  <c r="D56" i="24" s="1"/>
  <c r="E56" i="24" s="1"/>
  <c r="AX46" i="1"/>
  <c r="AU61" i="1"/>
  <c r="AU42" i="1"/>
  <c r="AU59" i="1"/>
  <c r="AV60" i="1"/>
  <c r="AV45" i="1"/>
  <c r="AV57" i="1" s="1"/>
  <c r="AX43" i="1" l="1"/>
  <c r="AX44" i="1"/>
  <c r="C57" i="24"/>
  <c r="D57" i="24" s="1"/>
  <c r="E57" i="24" s="1"/>
  <c r="AY46" i="1"/>
  <c r="AV61" i="1"/>
  <c r="AV59" i="1"/>
  <c r="AV42" i="1"/>
  <c r="AW45" i="1"/>
  <c r="AW57" i="1" s="1"/>
  <c r="AW60" i="1"/>
  <c r="AZ46" i="1" l="1"/>
  <c r="C58" i="24"/>
  <c r="D58" i="24" s="1"/>
  <c r="E58" i="24" s="1"/>
  <c r="AY44" i="1"/>
  <c r="AY43" i="1"/>
  <c r="AW61" i="1"/>
  <c r="AW42" i="1"/>
  <c r="AW59" i="1"/>
  <c r="AX45" i="1"/>
  <c r="AX57" i="1" s="1"/>
  <c r="AX60" i="1"/>
  <c r="C59" i="24" l="1"/>
  <c r="D59" i="24" s="1"/>
  <c r="E59" i="24" s="1"/>
  <c r="BA46" i="1"/>
  <c r="AY60" i="1"/>
  <c r="AY45" i="1"/>
  <c r="AY57" i="1" s="1"/>
  <c r="AX61" i="1"/>
  <c r="AX42" i="1"/>
  <c r="AX59" i="1"/>
  <c r="AZ44" i="1"/>
  <c r="AZ43" i="1"/>
  <c r="BA43" i="1" l="1"/>
  <c r="BA44" i="1"/>
  <c r="AY61" i="1"/>
  <c r="AY42" i="1"/>
  <c r="AY59" i="1"/>
  <c r="AZ60" i="1"/>
  <c r="AZ45" i="1"/>
  <c r="AZ57" i="1" s="1"/>
  <c r="C60" i="24"/>
  <c r="D60" i="24" s="1"/>
  <c r="E60" i="24" s="1"/>
  <c r="BB46" i="1"/>
  <c r="BB44" i="1" l="1"/>
  <c r="BB43" i="1"/>
  <c r="AZ61" i="1"/>
  <c r="AZ59" i="1"/>
  <c r="AZ42" i="1"/>
  <c r="C61" i="24"/>
  <c r="D61" i="24" s="1"/>
  <c r="E61" i="24" s="1"/>
  <c r="BC46" i="1"/>
  <c r="BA60" i="1"/>
  <c r="BA45" i="1"/>
  <c r="BA57" i="1" s="1"/>
  <c r="C62" i="24" l="1"/>
  <c r="D62" i="24" s="1"/>
  <c r="E62" i="24" s="1"/>
  <c r="BD46" i="1"/>
  <c r="BB45" i="1"/>
  <c r="BB57" i="1" s="1"/>
  <c r="BB60" i="1"/>
  <c r="BC44" i="1"/>
  <c r="BC43" i="1"/>
  <c r="BA61" i="1"/>
  <c r="BA59" i="1"/>
  <c r="BA42" i="1"/>
  <c r="BC45" i="1" l="1"/>
  <c r="BC57" i="1" s="1"/>
  <c r="BC60" i="1"/>
  <c r="BB61" i="1"/>
  <c r="BB42" i="1"/>
  <c r="BB59" i="1"/>
  <c r="BD43" i="1"/>
  <c r="BE46" i="1"/>
  <c r="BD44" i="1"/>
  <c r="BE44" i="1" s="1"/>
  <c r="C63" i="24"/>
  <c r="D63" i="24" s="1"/>
  <c r="E63" i="24" s="1"/>
  <c r="BF46" i="1"/>
  <c r="BD60" i="1" l="1"/>
  <c r="BD45" i="1"/>
  <c r="BD57" i="1" s="1"/>
  <c r="BF44" i="1"/>
  <c r="BF43" i="1"/>
  <c r="BG46" i="1"/>
  <c r="C64" i="24"/>
  <c r="D64" i="24" s="1"/>
  <c r="E64" i="24" s="1"/>
  <c r="BE43" i="1"/>
  <c r="BE60" i="1" s="1"/>
  <c r="BC61" i="1"/>
  <c r="BC59" i="1"/>
  <c r="BC42" i="1"/>
  <c r="C65" i="24" l="1"/>
  <c r="D65" i="24" s="1"/>
  <c r="E65" i="24" s="1"/>
  <c r="BH46" i="1"/>
  <c r="BG44" i="1"/>
  <c r="BG43" i="1"/>
  <c r="BD61" i="1"/>
  <c r="BD42" i="1"/>
  <c r="BD59" i="1"/>
  <c r="BE45" i="1"/>
  <c r="BE42" i="1" s="1"/>
  <c r="BF60" i="1"/>
  <c r="BF45" i="1"/>
  <c r="BF57" i="1" s="1"/>
  <c r="BE57" i="1" l="1"/>
  <c r="BE58" i="1" s="1"/>
  <c r="G18" i="25"/>
  <c r="G17" i="25"/>
  <c r="G19" i="25" s="1"/>
  <c r="BF61" i="1"/>
  <c r="BF59" i="1"/>
  <c r="BF42" i="1"/>
  <c r="BH43" i="1"/>
  <c r="BH44" i="1"/>
  <c r="BG60" i="1"/>
  <c r="BG45" i="1"/>
  <c r="BG57" i="1" s="1"/>
  <c r="BE61" i="1"/>
  <c r="BE59" i="1"/>
  <c r="BI46" i="1"/>
  <c r="C66" i="24"/>
  <c r="D66" i="24" s="1"/>
  <c r="E66" i="24" s="1"/>
  <c r="BJ46" i="1" l="1"/>
  <c r="C67" i="24"/>
  <c r="D67" i="24" s="1"/>
  <c r="E67" i="24" s="1"/>
  <c r="BG61" i="1"/>
  <c r="BG59" i="1"/>
  <c r="BG42" i="1"/>
  <c r="BI43" i="1"/>
  <c r="BI44" i="1"/>
  <c r="BH45" i="1"/>
  <c r="BH57" i="1" s="1"/>
  <c r="BH60" i="1"/>
  <c r="BI45" i="1" l="1"/>
  <c r="BI57" i="1" s="1"/>
  <c r="BI60" i="1"/>
  <c r="BK46" i="1"/>
  <c r="C68" i="24"/>
  <c r="D68" i="24" s="1"/>
  <c r="E68" i="24" s="1"/>
  <c r="BH61" i="1"/>
  <c r="BH42" i="1"/>
  <c r="BH59" i="1"/>
  <c r="BJ44" i="1"/>
  <c r="BJ43" i="1"/>
  <c r="C69" i="24" l="1"/>
  <c r="D69" i="24" s="1"/>
  <c r="E69" i="24" s="1"/>
  <c r="BL46" i="1"/>
  <c r="BK43" i="1"/>
  <c r="BK44" i="1"/>
  <c r="BJ60" i="1"/>
  <c r="BJ45" i="1"/>
  <c r="BJ57" i="1" s="1"/>
  <c r="BI61" i="1"/>
  <c r="BI59" i="1"/>
  <c r="BI42" i="1"/>
  <c r="BK60" i="1" l="1"/>
  <c r="BK45" i="1"/>
  <c r="BK57" i="1" s="1"/>
  <c r="BL43" i="1"/>
  <c r="BL44" i="1"/>
  <c r="BJ61" i="1"/>
  <c r="BJ59" i="1"/>
  <c r="BJ42" i="1"/>
  <c r="C70" i="24"/>
  <c r="D70" i="24" s="1"/>
  <c r="E70" i="24" s="1"/>
  <c r="BM46" i="1"/>
  <c r="BL45" i="1" l="1"/>
  <c r="BL57" i="1" s="1"/>
  <c r="BL60" i="1"/>
  <c r="BM43" i="1"/>
  <c r="BM44" i="1"/>
  <c r="BK61" i="1"/>
  <c r="BK59" i="1"/>
  <c r="BK42" i="1"/>
  <c r="BN46" i="1"/>
  <c r="C71" i="24"/>
  <c r="D71" i="24" s="1"/>
  <c r="E71" i="24" s="1"/>
  <c r="BM60" i="1" l="1"/>
  <c r="BM45" i="1"/>
  <c r="BM57" i="1" s="1"/>
  <c r="C72" i="24"/>
  <c r="D72" i="24" s="1"/>
  <c r="E72" i="24" s="1"/>
  <c r="BO46" i="1"/>
  <c r="BN44" i="1"/>
  <c r="BN43" i="1"/>
  <c r="BL61" i="1"/>
  <c r="BL42" i="1"/>
  <c r="BL59" i="1"/>
  <c r="BN60" i="1" l="1"/>
  <c r="BN45" i="1"/>
  <c r="BN57" i="1" s="1"/>
  <c r="BO44" i="1"/>
  <c r="BO43" i="1"/>
  <c r="BM61" i="1"/>
  <c r="BM42" i="1"/>
  <c r="BM59" i="1"/>
  <c r="C73" i="24"/>
  <c r="D73" i="24" s="1"/>
  <c r="E73" i="24" s="1"/>
  <c r="BP46" i="1"/>
  <c r="BO45" i="1" l="1"/>
  <c r="BO57" i="1" s="1"/>
  <c r="BO60" i="1"/>
  <c r="BP44" i="1"/>
  <c r="BP43" i="1"/>
  <c r="BN61" i="1"/>
  <c r="BN42" i="1"/>
  <c r="BN59" i="1"/>
  <c r="C74" i="24"/>
  <c r="D74" i="24" s="1"/>
  <c r="E74" i="24" s="1"/>
  <c r="BQ46" i="1"/>
  <c r="BP60" i="1" l="1"/>
  <c r="BP45" i="1"/>
  <c r="BP57" i="1" s="1"/>
  <c r="BR46" i="1"/>
  <c r="BQ43" i="1"/>
  <c r="BQ44" i="1"/>
  <c r="BR44" i="1" s="1"/>
  <c r="BS46" i="1"/>
  <c r="C75" i="24"/>
  <c r="D75" i="24" s="1"/>
  <c r="E75" i="24" s="1"/>
  <c r="BO61" i="1"/>
  <c r="BO59" i="1"/>
  <c r="BO42" i="1"/>
  <c r="BS44" i="1" l="1"/>
  <c r="BS43" i="1"/>
  <c r="BQ45" i="1"/>
  <c r="BQ57" i="1" s="1"/>
  <c r="BQ60" i="1"/>
  <c r="BR43" i="1"/>
  <c r="BR60" i="1" s="1"/>
  <c r="BP61" i="1"/>
  <c r="BP59" i="1"/>
  <c r="BP42" i="1"/>
  <c r="BT46" i="1"/>
  <c r="C76" i="24"/>
  <c r="D76" i="24" s="1"/>
  <c r="E76" i="24" s="1"/>
  <c r="BR45" i="1" l="1"/>
  <c r="BR57" i="1" s="1"/>
  <c r="BR58" i="1" s="1"/>
  <c r="C77" i="24"/>
  <c r="D77" i="24" s="1"/>
  <c r="E77" i="24" s="1"/>
  <c r="BU46" i="1"/>
  <c r="BQ61" i="1"/>
  <c r="BQ59" i="1"/>
  <c r="BQ42" i="1"/>
  <c r="BS60" i="1"/>
  <c r="BS45" i="1"/>
  <c r="BS57" i="1" s="1"/>
  <c r="BT43" i="1"/>
  <c r="BT44" i="1"/>
  <c r="BR42" i="1" l="1"/>
  <c r="H18" i="25" s="1"/>
  <c r="BR59" i="1"/>
  <c r="BR61" i="1"/>
  <c r="H17" i="25"/>
  <c r="H19" i="25" s="1"/>
  <c r="C78" i="24"/>
  <c r="D78" i="24" s="1"/>
  <c r="E78" i="24" s="1"/>
  <c r="BV46" i="1"/>
  <c r="BU44" i="1"/>
  <c r="BU43" i="1"/>
  <c r="BS61" i="1"/>
  <c r="BS59" i="1"/>
  <c r="BS42" i="1"/>
  <c r="BT45" i="1"/>
  <c r="BT57" i="1" s="1"/>
  <c r="BT60" i="1"/>
  <c r="BV44" i="1" l="1"/>
  <c r="BV43" i="1"/>
  <c r="BU60" i="1"/>
  <c r="BU45" i="1"/>
  <c r="BU57" i="1" s="1"/>
  <c r="BT61" i="1"/>
  <c r="BT42" i="1"/>
  <c r="BT59" i="1"/>
  <c r="C79" i="24"/>
  <c r="D79" i="24" s="1"/>
  <c r="E79" i="24" s="1"/>
  <c r="BW46" i="1"/>
  <c r="BU61" i="1" l="1"/>
  <c r="BU59" i="1"/>
  <c r="BU42" i="1"/>
  <c r="BW43" i="1"/>
  <c r="BW44" i="1"/>
  <c r="BV60" i="1"/>
  <c r="BV45" i="1"/>
  <c r="BV57" i="1" s="1"/>
  <c r="BX46" i="1"/>
  <c r="C80" i="24"/>
  <c r="D80" i="24" s="1"/>
  <c r="E80" i="24" s="1"/>
  <c r="BV61" i="1" l="1"/>
  <c r="BV59" i="1"/>
  <c r="BV42" i="1"/>
  <c r="BW45" i="1"/>
  <c r="BW57" i="1" s="1"/>
  <c r="BW60" i="1"/>
  <c r="C81" i="24"/>
  <c r="D81" i="24" s="1"/>
  <c r="E81" i="24" s="1"/>
  <c r="BY46" i="1"/>
  <c r="BX44" i="1"/>
  <c r="BX43" i="1"/>
  <c r="BZ46" i="1" l="1"/>
  <c r="C82" i="24"/>
  <c r="D82" i="24" s="1"/>
  <c r="E82" i="24" s="1"/>
  <c r="BW61" i="1"/>
  <c r="BW42" i="1"/>
  <c r="BW59" i="1"/>
  <c r="BY43" i="1"/>
  <c r="BY44" i="1"/>
  <c r="BX60" i="1"/>
  <c r="BX45" i="1"/>
  <c r="BX57" i="1" s="1"/>
  <c r="CA46" i="1" l="1"/>
  <c r="C83" i="24"/>
  <c r="D83" i="24" s="1"/>
  <c r="E83" i="24" s="1"/>
  <c r="BY60" i="1"/>
  <c r="BY45" i="1"/>
  <c r="BY57" i="1" s="1"/>
  <c r="BX61" i="1"/>
  <c r="BX42" i="1"/>
  <c r="BX59" i="1"/>
  <c r="BZ43" i="1"/>
  <c r="BZ44" i="1"/>
  <c r="BY61" i="1" l="1"/>
  <c r="BY42" i="1"/>
  <c r="BY59" i="1"/>
  <c r="C84" i="24"/>
  <c r="D84" i="24" s="1"/>
  <c r="E84" i="24" s="1"/>
  <c r="CB46" i="1"/>
  <c r="BZ60" i="1"/>
  <c r="BZ45" i="1"/>
  <c r="BZ57" i="1" s="1"/>
  <c r="CA44" i="1"/>
  <c r="CA43" i="1"/>
  <c r="C85" i="24" l="1"/>
  <c r="D85" i="24" s="1"/>
  <c r="E85" i="24" s="1"/>
  <c r="CC46" i="1"/>
  <c r="BZ61" i="1"/>
  <c r="BZ59" i="1"/>
  <c r="BZ42" i="1"/>
  <c r="CA60" i="1"/>
  <c r="CA45" i="1"/>
  <c r="CA57" i="1" s="1"/>
  <c r="CB44" i="1"/>
  <c r="CB43" i="1"/>
  <c r="CA61" i="1" l="1"/>
  <c r="CA59" i="1"/>
  <c r="CA42" i="1"/>
  <c r="CC43" i="1"/>
  <c r="CC44" i="1"/>
  <c r="CB60" i="1"/>
  <c r="CB45" i="1"/>
  <c r="CB57" i="1" s="1"/>
  <c r="C86" i="24"/>
  <c r="D86" i="24" s="1"/>
  <c r="E86" i="24" s="1"/>
  <c r="CD46" i="1"/>
  <c r="CB61" i="1" l="1"/>
  <c r="CB59" i="1"/>
  <c r="CB42" i="1"/>
  <c r="CD43" i="1"/>
  <c r="CD44" i="1"/>
  <c r="CE44" i="1" s="1"/>
  <c r="CE46" i="1"/>
  <c r="CC45" i="1"/>
  <c r="CC57" i="1" s="1"/>
  <c r="CC60" i="1"/>
  <c r="CF46" i="1"/>
  <c r="C87" i="24"/>
  <c r="D87" i="24" s="1"/>
  <c r="E87" i="24" s="1"/>
  <c r="C88" i="24" l="1"/>
  <c r="D88" i="24" s="1"/>
  <c r="E88" i="24" s="1"/>
  <c r="CG46" i="1"/>
  <c r="CE43" i="1"/>
  <c r="CE60" i="1" s="1"/>
  <c r="CD60" i="1"/>
  <c r="CD45" i="1"/>
  <c r="CD57" i="1" s="1"/>
  <c r="CC61" i="1"/>
  <c r="CC42" i="1"/>
  <c r="CC59" i="1"/>
  <c r="CF43" i="1"/>
  <c r="CF44" i="1"/>
  <c r="CG44" i="1" l="1"/>
  <c r="CG43" i="1"/>
  <c r="CD61" i="1"/>
  <c r="CD42" i="1"/>
  <c r="CD59" i="1"/>
  <c r="CF60" i="1"/>
  <c r="CF45" i="1"/>
  <c r="CF57" i="1" s="1"/>
  <c r="CF58" i="1" s="1"/>
  <c r="C89" i="24"/>
  <c r="D89" i="24" s="1"/>
  <c r="E89" i="24" s="1"/>
  <c r="CH46" i="1"/>
  <c r="CE45" i="1"/>
  <c r="CE57" i="1" s="1"/>
  <c r="CE58" i="1" s="1"/>
  <c r="I17" i="25" l="1"/>
  <c r="I19" i="25" s="1"/>
  <c r="CE61" i="1"/>
  <c r="CE42" i="1"/>
  <c r="I18" i="25" s="1"/>
  <c r="CE59" i="1"/>
  <c r="CH43" i="1"/>
  <c r="CH44" i="1"/>
  <c r="CG45" i="1"/>
  <c r="CG57" i="1" s="1"/>
  <c r="CG58" i="1" s="1"/>
  <c r="CG60" i="1"/>
  <c r="CF61" i="1"/>
  <c r="CF59" i="1"/>
  <c r="CF42" i="1"/>
  <c r="CI46" i="1"/>
  <c r="C90" i="24"/>
  <c r="D90" i="24" s="1"/>
  <c r="E90" i="24" s="1"/>
  <c r="CG61" i="1" l="1"/>
  <c r="CG42" i="1"/>
  <c r="CG59" i="1"/>
  <c r="CI44" i="1"/>
  <c r="CI43" i="1"/>
  <c r="CH60" i="1"/>
  <c r="CH45" i="1"/>
  <c r="CH57" i="1" s="1"/>
  <c r="CH58" i="1" s="1"/>
  <c r="CJ46" i="1"/>
  <c r="C91" i="24"/>
  <c r="D91" i="24" s="1"/>
  <c r="E91" i="24" s="1"/>
  <c r="CH61" i="1" l="1"/>
  <c r="CH42" i="1"/>
  <c r="CH59" i="1"/>
  <c r="CI60" i="1"/>
  <c r="CI45" i="1"/>
  <c r="CI57" i="1" s="1"/>
  <c r="CI58" i="1" s="1"/>
  <c r="C92" i="24"/>
  <c r="D92" i="24" s="1"/>
  <c r="E92" i="24" s="1"/>
  <c r="CK46" i="1"/>
  <c r="CJ43" i="1"/>
  <c r="CJ44" i="1"/>
  <c r="CK44" i="1" l="1"/>
  <c r="CK43" i="1"/>
  <c r="CL46" i="1"/>
  <c r="C93" i="24"/>
  <c r="D93" i="24" s="1"/>
  <c r="E93" i="24" s="1"/>
  <c r="CI61" i="1"/>
  <c r="CI42" i="1"/>
  <c r="CI59" i="1"/>
  <c r="CJ60" i="1"/>
  <c r="CJ45" i="1"/>
  <c r="CJ57" i="1" s="1"/>
  <c r="CJ58" i="1" s="1"/>
  <c r="CM46" i="1" l="1"/>
  <c r="C94" i="24"/>
  <c r="D94" i="24" s="1"/>
  <c r="E94" i="24" s="1"/>
  <c r="CK45" i="1"/>
  <c r="CK57" i="1" s="1"/>
  <c r="CK58" i="1" s="1"/>
  <c r="CK60" i="1"/>
  <c r="CL43" i="1"/>
  <c r="CL44" i="1"/>
  <c r="CJ61" i="1"/>
  <c r="CJ42" i="1"/>
  <c r="CJ59" i="1"/>
  <c r="CK61" i="1" l="1"/>
  <c r="CK42" i="1"/>
  <c r="CK59" i="1"/>
  <c r="CL45" i="1"/>
  <c r="CL57" i="1" s="1"/>
  <c r="CL58" i="1" s="1"/>
  <c r="CL60" i="1"/>
  <c r="C95" i="24"/>
  <c r="D95" i="24" s="1"/>
  <c r="E95" i="24" s="1"/>
  <c r="CN46" i="1"/>
  <c r="CM43" i="1"/>
  <c r="CM44" i="1"/>
  <c r="CN44" i="1" l="1"/>
  <c r="CN43" i="1"/>
  <c r="CO46" i="1"/>
  <c r="C96" i="24"/>
  <c r="D96" i="24" s="1"/>
  <c r="E96" i="24" s="1"/>
  <c r="CL61" i="1"/>
  <c r="CL59" i="1"/>
  <c r="CL42" i="1"/>
  <c r="CM45" i="1"/>
  <c r="CM57" i="1" s="1"/>
  <c r="CM58" i="1" s="1"/>
  <c r="CM60" i="1"/>
  <c r="CO44" i="1" l="1"/>
  <c r="CO43" i="1"/>
  <c r="CP46" i="1"/>
  <c r="C97" i="24"/>
  <c r="D97" i="24" s="1"/>
  <c r="E97" i="24" s="1"/>
  <c r="CN45" i="1"/>
  <c r="CN57" i="1" s="1"/>
  <c r="CN58" i="1" s="1"/>
  <c r="CN60" i="1"/>
  <c r="CM61" i="1"/>
  <c r="CM59" i="1"/>
  <c r="CM42" i="1"/>
  <c r="CN61" i="1" l="1"/>
  <c r="CN59" i="1"/>
  <c r="CN42" i="1"/>
  <c r="C98" i="24"/>
  <c r="D98" i="24" s="1"/>
  <c r="E98" i="24" s="1"/>
  <c r="CQ46" i="1"/>
  <c r="CP43" i="1"/>
  <c r="CP44" i="1"/>
  <c r="CO60" i="1"/>
  <c r="CO45" i="1"/>
  <c r="CO57" i="1" s="1"/>
  <c r="CO58" i="1" s="1"/>
  <c r="CP60" i="1" l="1"/>
  <c r="CP45" i="1"/>
  <c r="CP57" i="1" s="1"/>
  <c r="CP58" i="1" s="1"/>
  <c r="C99" i="24"/>
  <c r="D99" i="24" s="1"/>
  <c r="E99" i="24" s="1"/>
  <c r="CS46" i="1"/>
  <c r="CQ43" i="1"/>
  <c r="CR43" i="1" s="1"/>
  <c r="CR60" i="1" s="1"/>
  <c r="CQ44" i="1"/>
  <c r="CR44" i="1" s="1"/>
  <c r="CR46" i="1"/>
  <c r="CO61" i="1"/>
  <c r="CO59" i="1"/>
  <c r="CO42" i="1"/>
  <c r="CS43" i="1" l="1"/>
  <c r="CS44" i="1"/>
  <c r="CQ60" i="1"/>
  <c r="CQ45" i="1"/>
  <c r="CQ57" i="1" s="1"/>
  <c r="CQ58" i="1" s="1"/>
  <c r="C100" i="24"/>
  <c r="D100" i="24" s="1"/>
  <c r="E100" i="24" s="1"/>
  <c r="CT46" i="1"/>
  <c r="CP61" i="1"/>
  <c r="CP59" i="1"/>
  <c r="CP42" i="1"/>
  <c r="CT43" i="1" l="1"/>
  <c r="CT44" i="1"/>
  <c r="CU46" i="1"/>
  <c r="C101" i="24"/>
  <c r="D101" i="24" s="1"/>
  <c r="E101" i="24" s="1"/>
  <c r="CQ61" i="1"/>
  <c r="CQ59" i="1"/>
  <c r="CQ42" i="1"/>
  <c r="CR45" i="1"/>
  <c r="CR57" i="1" s="1"/>
  <c r="CR58" i="1" s="1"/>
  <c r="CS60" i="1"/>
  <c r="CS45" i="1"/>
  <c r="CS57" i="1" s="1"/>
  <c r="CS58" i="1" s="1"/>
  <c r="J17" i="25" l="1"/>
  <c r="J19" i="25" s="1"/>
  <c r="CU44" i="1"/>
  <c r="CU43" i="1"/>
  <c r="CV46" i="1"/>
  <c r="C102" i="24"/>
  <c r="D102" i="24" s="1"/>
  <c r="E102" i="24" s="1"/>
  <c r="CS61" i="1"/>
  <c r="CS59" i="1"/>
  <c r="CS42" i="1"/>
  <c r="CR61" i="1"/>
  <c r="CR42" i="1"/>
  <c r="J18" i="25" s="1"/>
  <c r="CR59" i="1"/>
  <c r="CT60" i="1"/>
  <c r="CT45" i="1"/>
  <c r="CT57" i="1" s="1"/>
  <c r="CT58" i="1" s="1"/>
  <c r="CT61" i="1" l="1"/>
  <c r="CT42" i="1"/>
  <c r="CT59" i="1"/>
  <c r="C103" i="24"/>
  <c r="D103" i="24" s="1"/>
  <c r="E103" i="24" s="1"/>
  <c r="CW46" i="1"/>
  <c r="CV43" i="1"/>
  <c r="CV44" i="1"/>
  <c r="CU60" i="1"/>
  <c r="CU45" i="1"/>
  <c r="CU57" i="1" s="1"/>
  <c r="CU58" i="1" s="1"/>
  <c r="CX46" i="1" l="1"/>
  <c r="C104" i="24"/>
  <c r="D104" i="24" s="1"/>
  <c r="E104" i="24" s="1"/>
  <c r="CW44" i="1"/>
  <c r="CW43" i="1"/>
  <c r="CV60" i="1"/>
  <c r="CV45" i="1"/>
  <c r="CV57" i="1" s="1"/>
  <c r="CV58" i="1" s="1"/>
  <c r="CU61" i="1"/>
  <c r="CU42" i="1"/>
  <c r="CU59" i="1"/>
  <c r="CV61" i="1" l="1"/>
  <c r="CV42" i="1"/>
  <c r="CV59" i="1"/>
  <c r="CW60" i="1"/>
  <c r="CW45" i="1"/>
  <c r="CW57" i="1" s="1"/>
  <c r="CW58" i="1" s="1"/>
  <c r="C105" i="24"/>
  <c r="D105" i="24" s="1"/>
  <c r="E105" i="24" s="1"/>
  <c r="CY46" i="1"/>
  <c r="CX43" i="1"/>
  <c r="CX44" i="1"/>
  <c r="CY43" i="1" l="1"/>
  <c r="CY44" i="1"/>
  <c r="CW61" i="1"/>
  <c r="CW42" i="1"/>
  <c r="CW59" i="1"/>
  <c r="C106" i="24"/>
  <c r="D106" i="24" s="1"/>
  <c r="E106" i="24" s="1"/>
  <c r="CZ46" i="1"/>
  <c r="CX45" i="1"/>
  <c r="CX57" i="1" s="1"/>
  <c r="CX58" i="1" s="1"/>
  <c r="CX60" i="1"/>
  <c r="CZ44" i="1" l="1"/>
  <c r="CZ43" i="1"/>
  <c r="DA46" i="1"/>
  <c r="C107" i="24"/>
  <c r="D107" i="24" s="1"/>
  <c r="E107" i="24" s="1"/>
  <c r="CX61" i="1"/>
  <c r="CX59" i="1"/>
  <c r="CX42" i="1"/>
  <c r="CY60" i="1"/>
  <c r="CY45" i="1"/>
  <c r="CY57" i="1" s="1"/>
  <c r="CY58" i="1" s="1"/>
  <c r="C108" i="24" l="1"/>
  <c r="D108" i="24" s="1"/>
  <c r="E108" i="24" s="1"/>
  <c r="DB46" i="1"/>
  <c r="CZ45" i="1"/>
  <c r="CZ57" i="1" s="1"/>
  <c r="CZ58" i="1" s="1"/>
  <c r="CZ60" i="1"/>
  <c r="DA43" i="1"/>
  <c r="DA44" i="1"/>
  <c r="CY61" i="1"/>
  <c r="CY59" i="1"/>
  <c r="CY42" i="1"/>
  <c r="CZ61" i="1" l="1"/>
  <c r="CZ59" i="1"/>
  <c r="CZ42" i="1"/>
  <c r="DB44" i="1"/>
  <c r="DB43" i="1"/>
  <c r="DA60" i="1"/>
  <c r="DA45" i="1"/>
  <c r="DA57" i="1" s="1"/>
  <c r="DA58" i="1" s="1"/>
  <c r="C109" i="24"/>
  <c r="D109" i="24" s="1"/>
  <c r="E109" i="24" s="1"/>
  <c r="DC46" i="1"/>
  <c r="DA61" i="1" l="1"/>
  <c r="DA59" i="1"/>
  <c r="DA42" i="1"/>
  <c r="DB60" i="1"/>
  <c r="DB45" i="1"/>
  <c r="DB57" i="1" s="1"/>
  <c r="DB58" i="1" s="1"/>
  <c r="DC44" i="1"/>
  <c r="DC43" i="1"/>
  <c r="C110" i="24"/>
  <c r="D110" i="24" s="1"/>
  <c r="E110" i="24" s="1"/>
  <c r="DD46" i="1"/>
  <c r="DC45" i="1" l="1"/>
  <c r="DC57" i="1" s="1"/>
  <c r="DC58" i="1" s="1"/>
  <c r="DC60" i="1"/>
  <c r="DB61" i="1"/>
  <c r="DB42" i="1"/>
  <c r="DB59" i="1"/>
  <c r="DD43" i="1"/>
  <c r="DD44" i="1"/>
  <c r="DE44" i="1" s="1"/>
  <c r="DE46" i="1"/>
  <c r="C111" i="24"/>
  <c r="D111" i="24" s="1"/>
  <c r="E111" i="24" s="1"/>
  <c r="DF46" i="1"/>
  <c r="DD45" i="1" l="1"/>
  <c r="DD57" i="1" s="1"/>
  <c r="DD58" i="1" s="1"/>
  <c r="DD60" i="1"/>
  <c r="DE43" i="1"/>
  <c r="DE60" i="1" s="1"/>
  <c r="DF44" i="1"/>
  <c r="DF43" i="1"/>
  <c r="DG46" i="1"/>
  <c r="C112" i="24"/>
  <c r="D112" i="24" s="1"/>
  <c r="E112" i="24" s="1"/>
  <c r="DC61" i="1"/>
  <c r="DC59" i="1"/>
  <c r="DC42" i="1"/>
  <c r="DG44" i="1" l="1"/>
  <c r="DG43" i="1"/>
  <c r="DF60" i="1"/>
  <c r="DF45" i="1"/>
  <c r="DF57" i="1" s="1"/>
  <c r="DF58" i="1" s="1"/>
  <c r="C113" i="24"/>
  <c r="D113" i="24" s="1"/>
  <c r="E113" i="24" s="1"/>
  <c r="DH46" i="1"/>
  <c r="DD61" i="1"/>
  <c r="DD42" i="1"/>
  <c r="DD59" i="1"/>
  <c r="DE45" i="1"/>
  <c r="DE57" i="1" s="1"/>
  <c r="DE58" i="1" s="1"/>
  <c r="K17" i="25" l="1"/>
  <c r="K19" i="25" s="1"/>
  <c r="DH44" i="1"/>
  <c r="DH43" i="1"/>
  <c r="DI46" i="1"/>
  <c r="C114" i="24"/>
  <c r="D114" i="24" s="1"/>
  <c r="E114" i="24" s="1"/>
  <c r="DE61" i="1"/>
  <c r="DE59" i="1"/>
  <c r="DE42" i="1"/>
  <c r="K18" i="25" s="1"/>
  <c r="DG45" i="1"/>
  <c r="DG57" i="1" s="1"/>
  <c r="DG58" i="1" s="1"/>
  <c r="DG60" i="1"/>
  <c r="DF61" i="1"/>
  <c r="DF42" i="1"/>
  <c r="DF59" i="1"/>
  <c r="DI43" i="1" l="1"/>
  <c r="DI44" i="1"/>
  <c r="DJ46" i="1"/>
  <c r="C115" i="24"/>
  <c r="D115" i="24" s="1"/>
  <c r="E115" i="24" s="1"/>
  <c r="DG61" i="1"/>
  <c r="DG42" i="1"/>
  <c r="DG59" i="1"/>
  <c r="DH60" i="1"/>
  <c r="DH45" i="1"/>
  <c r="DH57" i="1" s="1"/>
  <c r="DH58" i="1" s="1"/>
  <c r="DJ43" i="1" l="1"/>
  <c r="DJ44" i="1"/>
  <c r="DH61" i="1"/>
  <c r="DH59" i="1"/>
  <c r="DH42" i="1"/>
  <c r="DK46" i="1"/>
  <c r="C116" i="24"/>
  <c r="D116" i="24" s="1"/>
  <c r="E116" i="24" s="1"/>
  <c r="DI45" i="1"/>
  <c r="DI57" i="1" s="1"/>
  <c r="DI58" i="1" s="1"/>
  <c r="DI60" i="1"/>
  <c r="C117" i="24" l="1"/>
  <c r="D117" i="24" s="1"/>
  <c r="E117" i="24" s="1"/>
  <c r="DL46" i="1"/>
  <c r="DK43" i="1"/>
  <c r="DK44" i="1"/>
  <c r="DI61" i="1"/>
  <c r="DI42" i="1"/>
  <c r="DI59" i="1"/>
  <c r="DJ45" i="1"/>
  <c r="DJ57" i="1" s="1"/>
  <c r="DJ58" i="1" s="1"/>
  <c r="DJ60" i="1"/>
  <c r="DK45" i="1" l="1"/>
  <c r="DK57" i="1" s="1"/>
  <c r="DK58" i="1" s="1"/>
  <c r="DK60" i="1"/>
  <c r="DL43" i="1"/>
  <c r="DL44" i="1"/>
  <c r="DJ61" i="1"/>
  <c r="DJ59" i="1"/>
  <c r="DJ42" i="1"/>
  <c r="C118" i="24"/>
  <c r="D118" i="24" s="1"/>
  <c r="E118" i="24" s="1"/>
  <c r="DM46" i="1"/>
  <c r="DL60" i="1" l="1"/>
  <c r="DL45" i="1"/>
  <c r="DL57" i="1" s="1"/>
  <c r="DL58" i="1" s="1"/>
  <c r="DM44" i="1"/>
  <c r="DM43" i="1"/>
  <c r="C119" i="24"/>
  <c r="D119" i="24" s="1"/>
  <c r="E119" i="24" s="1"/>
  <c r="DN46" i="1"/>
  <c r="DK61" i="1"/>
  <c r="DK42" i="1"/>
  <c r="DK59" i="1"/>
  <c r="DN44" i="1" l="1"/>
  <c r="DN43" i="1"/>
  <c r="DL61" i="1"/>
  <c r="DL59" i="1"/>
  <c r="DL42" i="1"/>
  <c r="DO46" i="1"/>
  <c r="C120" i="24"/>
  <c r="D120" i="24" s="1"/>
  <c r="E120" i="24" s="1"/>
  <c r="DM60" i="1"/>
  <c r="DM45" i="1"/>
  <c r="DM57" i="1" s="1"/>
  <c r="DM58" i="1" s="1"/>
  <c r="DO44" i="1" l="1"/>
  <c r="DO43" i="1"/>
  <c r="C121" i="24"/>
  <c r="D121" i="24" s="1"/>
  <c r="E121" i="24" s="1"/>
  <c r="DP46" i="1"/>
  <c r="DM61" i="1"/>
  <c r="DM59" i="1"/>
  <c r="DM42" i="1"/>
  <c r="DN60" i="1"/>
  <c r="DN45" i="1"/>
  <c r="DN57" i="1" s="1"/>
  <c r="DN58" i="1" s="1"/>
  <c r="C122" i="24" l="1"/>
  <c r="D122" i="24" s="1"/>
  <c r="E122" i="24" s="1"/>
  <c r="DQ46" i="1"/>
  <c r="DP44" i="1"/>
  <c r="DP43" i="1"/>
  <c r="DN61" i="1"/>
  <c r="DN59" i="1"/>
  <c r="DN42" i="1"/>
  <c r="DO60" i="1"/>
  <c r="DO45" i="1"/>
  <c r="DO57" i="1" s="1"/>
  <c r="DO58" i="1" s="1"/>
  <c r="DP60" i="1" l="1"/>
  <c r="DP45" i="1"/>
  <c r="DP57" i="1" s="1"/>
  <c r="DP58" i="1" s="1"/>
  <c r="DQ44" i="1"/>
  <c r="DR44" i="1" s="1"/>
  <c r="DR46" i="1"/>
  <c r="DQ43" i="1"/>
  <c r="DO61" i="1"/>
  <c r="DO42" i="1"/>
  <c r="DO59" i="1"/>
  <c r="DS46" i="1"/>
  <c r="C123" i="24"/>
  <c r="D123" i="24" s="1"/>
  <c r="E123" i="24" s="1"/>
  <c r="DT46" i="1" l="1"/>
  <c r="C124" i="24"/>
  <c r="D124" i="24" s="1"/>
  <c r="E124" i="24" s="1"/>
  <c r="DS44" i="1"/>
  <c r="DS43" i="1"/>
  <c r="DP61" i="1"/>
  <c r="DP59" i="1"/>
  <c r="DP42" i="1"/>
  <c r="DQ45" i="1"/>
  <c r="DQ57" i="1" s="1"/>
  <c r="DQ58" i="1" s="1"/>
  <c r="DQ60" i="1"/>
  <c r="DR43" i="1"/>
  <c r="DR60" i="1" s="1"/>
  <c r="DS45" i="1" l="1"/>
  <c r="DS57" i="1" s="1"/>
  <c r="DS58" i="1" s="1"/>
  <c r="DS60" i="1"/>
  <c r="DU46" i="1"/>
  <c r="C125" i="24"/>
  <c r="D125" i="24" s="1"/>
  <c r="E125" i="24" s="1"/>
  <c r="DQ61" i="1"/>
  <c r="DQ42" i="1"/>
  <c r="DQ59" i="1"/>
  <c r="DR45" i="1"/>
  <c r="DR57" i="1" s="1"/>
  <c r="DR58" i="1" s="1"/>
  <c r="DT44" i="1"/>
  <c r="DT43" i="1"/>
  <c r="L17" i="25" l="1"/>
  <c r="L19" i="25" s="1"/>
  <c r="DU44" i="1"/>
  <c r="DU43" i="1"/>
  <c r="DV46" i="1"/>
  <c r="C126" i="24"/>
  <c r="D126" i="24" s="1"/>
  <c r="E126" i="24" s="1"/>
  <c r="DT60" i="1"/>
  <c r="DT45" i="1"/>
  <c r="DT57" i="1" s="1"/>
  <c r="DT58" i="1" s="1"/>
  <c r="DR61" i="1"/>
  <c r="DR59" i="1"/>
  <c r="DR42" i="1"/>
  <c r="DS61" i="1"/>
  <c r="DS59" i="1"/>
  <c r="DS42" i="1"/>
  <c r="L18" i="25" l="1"/>
  <c r="M18" i="25"/>
  <c r="C127" i="24"/>
  <c r="D127" i="24" s="1"/>
  <c r="E127" i="24" s="1"/>
  <c r="DW46" i="1"/>
  <c r="DV44" i="1"/>
  <c r="DV43" i="1"/>
  <c r="DU60" i="1"/>
  <c r="DU45" i="1"/>
  <c r="DU57" i="1" s="1"/>
  <c r="DU58" i="1" s="1"/>
  <c r="DT61" i="1"/>
  <c r="DT42" i="1"/>
  <c r="DT59" i="1"/>
  <c r="DU61" i="1" l="1"/>
  <c r="DU42" i="1"/>
  <c r="DU59" i="1"/>
  <c r="DW44" i="1"/>
  <c r="DW43" i="1"/>
  <c r="DV45" i="1"/>
  <c r="DV57" i="1" s="1"/>
  <c r="DV58" i="1" s="1"/>
  <c r="DV60" i="1"/>
  <c r="DX46" i="1"/>
  <c r="C128" i="24"/>
  <c r="D128" i="24" s="1"/>
  <c r="E128" i="24" s="1"/>
  <c r="DV61" i="1" l="1"/>
  <c r="DV59" i="1"/>
  <c r="DV42" i="1"/>
  <c r="DW60" i="1"/>
  <c r="DW45" i="1"/>
  <c r="DW57" i="1" s="1"/>
  <c r="DW58" i="1" s="1"/>
  <c r="C129" i="24"/>
  <c r="D129" i="24" s="1"/>
  <c r="E129" i="24" s="1"/>
  <c r="DY46" i="1"/>
  <c r="DX44" i="1"/>
  <c r="DX43" i="1"/>
  <c r="DY44" i="1" l="1"/>
  <c r="DY43" i="1"/>
  <c r="DZ46" i="1"/>
  <c r="C130" i="24"/>
  <c r="D130" i="24" s="1"/>
  <c r="E130" i="24" s="1"/>
  <c r="DW61" i="1"/>
  <c r="DW42" i="1"/>
  <c r="DW59" i="1"/>
  <c r="DX60" i="1"/>
  <c r="DX45" i="1"/>
  <c r="DX57" i="1" s="1"/>
  <c r="DX58" i="1" s="1"/>
  <c r="EA46" i="1" l="1"/>
  <c r="C131" i="24"/>
  <c r="D131" i="24" s="1"/>
  <c r="E131" i="24" s="1"/>
  <c r="DY60" i="1"/>
  <c r="DY45" i="1"/>
  <c r="DY57" i="1" s="1"/>
  <c r="DY58" i="1" s="1"/>
  <c r="DZ43" i="1"/>
  <c r="DZ44" i="1"/>
  <c r="DX61" i="1"/>
  <c r="DX42" i="1"/>
  <c r="DX59" i="1"/>
  <c r="DZ60" i="1" l="1"/>
  <c r="DZ45" i="1"/>
  <c r="DZ57" i="1" s="1"/>
  <c r="DZ58" i="1" s="1"/>
  <c r="C132" i="24"/>
  <c r="D132" i="24" s="1"/>
  <c r="E132" i="24" s="1"/>
  <c r="EB46" i="1"/>
  <c r="DY61" i="1"/>
  <c r="DY42" i="1"/>
  <c r="DY59" i="1"/>
  <c r="EA43" i="1"/>
  <c r="EA44" i="1"/>
  <c r="C133" i="24" l="1"/>
  <c r="D133" i="24" s="1"/>
  <c r="E133" i="24" s="1"/>
  <c r="EC46" i="1"/>
  <c r="EB44" i="1"/>
  <c r="EB43" i="1"/>
  <c r="DZ61" i="1"/>
  <c r="DZ42" i="1"/>
  <c r="DZ59" i="1"/>
  <c r="EA60" i="1"/>
  <c r="EA45" i="1"/>
  <c r="EA57" i="1" s="1"/>
  <c r="EA58" i="1" s="1"/>
  <c r="EB45" i="1" l="1"/>
  <c r="EB57" i="1" s="1"/>
  <c r="EB58" i="1" s="1"/>
  <c r="EB60" i="1"/>
  <c r="EC43" i="1"/>
  <c r="EC44" i="1"/>
  <c r="EA61" i="1"/>
  <c r="EA59" i="1"/>
  <c r="EA42" i="1"/>
  <c r="ED46" i="1"/>
  <c r="C134" i="24"/>
  <c r="D134" i="24" s="1"/>
  <c r="E134" i="24" s="1"/>
  <c r="C135" i="24" s="1"/>
  <c r="D135" i="24" s="1"/>
  <c r="E135" i="24" s="1"/>
  <c r="C136" i="24" s="1"/>
  <c r="D136" i="24" s="1"/>
  <c r="E136" i="24" s="1"/>
  <c r="EC60" i="1" l="1"/>
  <c r="EC45" i="1"/>
  <c r="EC57" i="1" s="1"/>
  <c r="EC58" i="1" s="1"/>
  <c r="ED44" i="1"/>
  <c r="EE44" i="1" s="1"/>
  <c r="ED43" i="1"/>
  <c r="EE46" i="1"/>
  <c r="EB61" i="1"/>
  <c r="EB59" i="1"/>
  <c r="EB42" i="1"/>
  <c r="C137" i="24"/>
  <c r="D137" i="24" s="1"/>
  <c r="E137" i="24" s="1"/>
  <c r="ED45" i="1" l="1"/>
  <c r="ED57" i="1" s="1"/>
  <c r="ED58" i="1" s="1"/>
  <c r="ED60" i="1"/>
  <c r="EE43" i="1"/>
  <c r="EC61" i="1"/>
  <c r="EC42" i="1"/>
  <c r="EC59" i="1"/>
  <c r="C138" i="24"/>
  <c r="D138" i="24" s="1"/>
  <c r="E138" i="24" s="1"/>
  <c r="E24" i="19" l="1"/>
  <c r="D24" i="19"/>
  <c r="EE60" i="1"/>
  <c r="H24" i="19"/>
  <c r="I24" i="19"/>
  <c r="ED61" i="1"/>
  <c r="ED42" i="1"/>
  <c r="EE45" i="1"/>
  <c r="ED59" i="1"/>
  <c r="C139" i="24"/>
  <c r="D139" i="24" s="1"/>
  <c r="E139" i="24" s="1"/>
  <c r="M17" i="25" l="1"/>
  <c r="M19" i="25" s="1"/>
  <c r="EE57" i="1"/>
  <c r="EE58" i="1" s="1"/>
  <c r="EE61" i="1"/>
  <c r="EE42" i="1"/>
  <c r="EE59" i="1"/>
  <c r="C140" i="24"/>
  <c r="D140" i="24" s="1"/>
  <c r="E140" i="24" s="1"/>
  <c r="M22" i="25" l="1"/>
  <c r="C141" i="24"/>
  <c r="D141" i="24" s="1"/>
  <c r="E141" i="24" s="1"/>
  <c r="C142" i="24" l="1"/>
  <c r="D142" i="24" s="1"/>
  <c r="E142" i="24" s="1"/>
  <c r="C143" i="24" l="1"/>
  <c r="D143" i="24" s="1"/>
  <c r="E143" i="24" s="1"/>
  <c r="C144" i="24" l="1"/>
  <c r="D144" i="24" s="1"/>
  <c r="E144" i="24" s="1"/>
  <c r="C145" i="24" l="1"/>
  <c r="D145" i="24" s="1"/>
  <c r="E145" i="24" s="1"/>
  <c r="C146" i="24" l="1"/>
  <c r="D146" i="24" s="1"/>
  <c r="E146" i="24" s="1"/>
  <c r="C147" i="24" l="1"/>
  <c r="D147" i="24" s="1"/>
  <c r="E147" i="24" s="1"/>
  <c r="C148" i="24" l="1"/>
  <c r="D148" i="24" s="1"/>
  <c r="E148" i="24" s="1"/>
  <c r="C149" i="24" l="1"/>
  <c r="D149" i="24" s="1"/>
  <c r="E149" i="24" s="1"/>
  <c r="C150" i="24" l="1"/>
  <c r="D150" i="24" s="1"/>
  <c r="E150" i="24" s="1"/>
  <c r="C151" i="24" l="1"/>
  <c r="D151" i="24" s="1"/>
  <c r="E151" i="24" s="1"/>
  <c r="C152" i="24" l="1"/>
  <c r="D152" i="24" s="1"/>
  <c r="E152" i="24" s="1"/>
  <c r="C153" i="24" l="1"/>
  <c r="D153" i="24" s="1"/>
  <c r="E153" i="24" s="1"/>
  <c r="C154" i="24" l="1"/>
  <c r="D154" i="24" s="1"/>
  <c r="E154" i="24" s="1"/>
  <c r="C155" i="24" l="1"/>
  <c r="D155" i="24" s="1"/>
  <c r="E155" i="24" s="1"/>
  <c r="C156" i="24" l="1"/>
  <c r="D156" i="24" s="1"/>
  <c r="E156" i="24" s="1"/>
  <c r="C157" i="24" l="1"/>
  <c r="D157" i="24" s="1"/>
  <c r="E157" i="24" s="1"/>
  <c r="C158" i="24" l="1"/>
  <c r="D158" i="24" s="1"/>
  <c r="E158" i="24" s="1"/>
  <c r="C159" i="24" l="1"/>
  <c r="D159" i="24" s="1"/>
  <c r="E159" i="24" s="1"/>
  <c r="C160" i="24" l="1"/>
  <c r="D160" i="24" s="1"/>
  <c r="E160" i="24" s="1"/>
  <c r="C161" i="24" l="1"/>
  <c r="D161" i="24" s="1"/>
  <c r="E161" i="24" s="1"/>
  <c r="C162" i="24" l="1"/>
  <c r="D162" i="24" s="1"/>
  <c r="E162" i="24" s="1"/>
  <c r="C163" i="24" l="1"/>
  <c r="D163" i="24" s="1"/>
  <c r="E163" i="24" s="1"/>
  <c r="C164" i="24" l="1"/>
  <c r="D164" i="24" s="1"/>
  <c r="E164" i="24" s="1"/>
  <c r="C165" i="24" l="1"/>
  <c r="D165" i="24" s="1"/>
  <c r="E165" i="24" s="1"/>
  <c r="C166" i="24" l="1"/>
  <c r="D166" i="24" s="1"/>
  <c r="E166" i="24" s="1"/>
  <c r="C167" i="24" l="1"/>
  <c r="D167" i="24" s="1"/>
  <c r="E167" i="24" s="1"/>
  <c r="C168" i="24" l="1"/>
  <c r="D168" i="24" s="1"/>
  <c r="E168" i="24" s="1"/>
  <c r="C169" i="24" l="1"/>
  <c r="D169" i="24" s="1"/>
  <c r="E169" i="24" s="1"/>
  <c r="C170" i="24" l="1"/>
  <c r="D170" i="24" s="1"/>
  <c r="E170" i="24" s="1"/>
  <c r="C171" i="24" l="1"/>
  <c r="D171" i="24" s="1"/>
  <c r="E171" i="24" s="1"/>
  <c r="C172" i="24" l="1"/>
  <c r="D172" i="24" s="1"/>
  <c r="E172" i="24" s="1"/>
  <c r="C173" i="24" l="1"/>
  <c r="D173" i="24" s="1"/>
  <c r="E173" i="24" s="1"/>
  <c r="C174" i="24" l="1"/>
  <c r="D174" i="24" s="1"/>
  <c r="E174" i="24" s="1"/>
  <c r="C175" i="24" l="1"/>
  <c r="D175" i="24" s="1"/>
  <c r="E175" i="24" s="1"/>
  <c r="C176" i="24" l="1"/>
  <c r="D176" i="24" s="1"/>
  <c r="E176" i="24" s="1"/>
  <c r="C177" i="24" l="1"/>
  <c r="D177" i="24" s="1"/>
  <c r="E177" i="24" s="1"/>
  <c r="C178" i="24" l="1"/>
  <c r="D178" i="24" s="1"/>
  <c r="E178" i="24" s="1"/>
  <c r="C179" i="24" l="1"/>
  <c r="D179" i="24" s="1"/>
  <c r="E179" i="24" s="1"/>
  <c r="C180" i="24" l="1"/>
  <c r="D180" i="24" s="1"/>
  <c r="E180" i="24" s="1"/>
  <c r="C181" i="24" l="1"/>
  <c r="D181" i="24" s="1"/>
  <c r="E181" i="24" s="1"/>
  <c r="C182" i="24" l="1"/>
  <c r="D182" i="24" s="1"/>
  <c r="E182" i="24" s="1"/>
  <c r="C183" i="24" l="1"/>
  <c r="D183" i="24" s="1"/>
  <c r="E183" i="24" s="1"/>
  <c r="C184" i="24" l="1"/>
  <c r="D184" i="24" s="1"/>
  <c r="E184" i="24" s="1"/>
  <c r="C185" i="24" l="1"/>
  <c r="D185" i="24" s="1"/>
  <c r="E185" i="24" s="1"/>
  <c r="C186" i="24" l="1"/>
  <c r="D186" i="24" s="1"/>
  <c r="E186" i="24" s="1"/>
  <c r="C187" i="24" l="1"/>
  <c r="D187" i="24" s="1"/>
  <c r="E187" i="24" s="1"/>
  <c r="C188" i="24" l="1"/>
  <c r="D188" i="24" s="1"/>
  <c r="E188" i="24" s="1"/>
  <c r="C189" i="24" l="1"/>
  <c r="D189" i="24" s="1"/>
  <c r="E189" i="24" s="1"/>
  <c r="C190" i="24" l="1"/>
  <c r="D190" i="24" s="1"/>
  <c r="E190" i="24" s="1"/>
  <c r="C191" i="24" l="1"/>
  <c r="D191" i="24" s="1"/>
  <c r="E191" i="24" s="1"/>
  <c r="C192" i="24" l="1"/>
  <c r="D192" i="24" s="1"/>
  <c r="E192" i="24" s="1"/>
  <c r="C193" i="24" l="1"/>
  <c r="D193" i="24" s="1"/>
  <c r="E193" i="24" s="1"/>
  <c r="C194" i="24" l="1"/>
  <c r="D194" i="24" s="1"/>
  <c r="E194" i="24" s="1"/>
  <c r="C195" i="24" l="1"/>
  <c r="D195" i="24" s="1"/>
  <c r="E195" i="24" s="1"/>
  <c r="C196" i="24" l="1"/>
  <c r="D196" i="24" s="1"/>
  <c r="E196" i="24" s="1"/>
  <c r="C197" i="24" l="1"/>
  <c r="D197" i="24" s="1"/>
  <c r="E197" i="24" s="1"/>
  <c r="C198" i="24" l="1"/>
  <c r="D198" i="24" s="1"/>
  <c r="E198" i="24" s="1"/>
  <c r="C199" i="24" l="1"/>
  <c r="D199" i="24" s="1"/>
  <c r="E199" i="24" s="1"/>
  <c r="C200" i="24" l="1"/>
  <c r="D200" i="24" s="1"/>
  <c r="E200" i="24" s="1"/>
  <c r="C201" i="24" l="1"/>
  <c r="D201" i="24" s="1"/>
  <c r="E201" i="24" s="1"/>
  <c r="C202" i="24" l="1"/>
  <c r="D202" i="24" s="1"/>
  <c r="E202" i="24" s="1"/>
  <c r="C203" i="24" l="1"/>
  <c r="D203" i="24" s="1"/>
  <c r="E203" i="24" s="1"/>
  <c r="C204" i="24" l="1"/>
  <c r="D204" i="24" s="1"/>
  <c r="E204" i="24" s="1"/>
  <c r="C205" i="24" l="1"/>
  <c r="D205" i="24" s="1"/>
  <c r="E205" i="24" s="1"/>
  <c r="C206" i="24" l="1"/>
  <c r="D206" i="24" s="1"/>
  <c r="E206" i="24" s="1"/>
  <c r="C207" i="24" l="1"/>
  <c r="D207" i="24" s="1"/>
  <c r="E207" i="24" s="1"/>
  <c r="C208" i="24" l="1"/>
  <c r="D208" i="24" s="1"/>
  <c r="E208" i="24" s="1"/>
  <c r="C209" i="24" l="1"/>
  <c r="D209" i="24" s="1"/>
  <c r="E209" i="24" s="1"/>
  <c r="C210" i="24" l="1"/>
  <c r="D210" i="24" s="1"/>
  <c r="E210" i="24" s="1"/>
  <c r="C211" i="24" l="1"/>
  <c r="D211" i="24" s="1"/>
  <c r="E211" i="24" s="1"/>
  <c r="C212" i="24" l="1"/>
  <c r="D212" i="24" s="1"/>
  <c r="E212" i="24" s="1"/>
  <c r="C213" i="24" l="1"/>
  <c r="D213" i="24" s="1"/>
  <c r="E213" i="24" s="1"/>
  <c r="C214" i="24" l="1"/>
  <c r="D214" i="24" s="1"/>
  <c r="E214" i="24" s="1"/>
  <c r="C215" i="24" l="1"/>
  <c r="D215" i="24" s="1"/>
  <c r="E215" i="24" s="1"/>
  <c r="C216" i="24" l="1"/>
  <c r="D216" i="24" s="1"/>
  <c r="E216" i="24" s="1"/>
  <c r="C217" i="24" l="1"/>
  <c r="D217" i="24" s="1"/>
  <c r="E217" i="24" s="1"/>
  <c r="C218" i="24" l="1"/>
  <c r="D218" i="24" s="1"/>
  <c r="E218" i="24" s="1"/>
  <c r="C219" i="24" l="1"/>
  <c r="D219" i="24" s="1"/>
  <c r="E219" i="24" s="1"/>
  <c r="C220" i="24" l="1"/>
  <c r="D220" i="24" s="1"/>
  <c r="E220" i="24" s="1"/>
  <c r="C221" i="24" l="1"/>
  <c r="D221" i="24" s="1"/>
  <c r="E221" i="24" s="1"/>
  <c r="C222" i="24" l="1"/>
  <c r="D222" i="24" s="1"/>
  <c r="E222" i="24" s="1"/>
  <c r="C223" i="24" l="1"/>
  <c r="D223" i="24" s="1"/>
  <c r="E223" i="24" s="1"/>
  <c r="C224" i="24" l="1"/>
  <c r="D224" i="24" s="1"/>
  <c r="E224" i="24" s="1"/>
  <c r="C225" i="24" l="1"/>
  <c r="D225" i="24" s="1"/>
  <c r="E225" i="24" s="1"/>
  <c r="C226" i="24" l="1"/>
  <c r="D226" i="24" s="1"/>
  <c r="E226" i="24" s="1"/>
  <c r="C227" i="24" l="1"/>
  <c r="D227" i="24" s="1"/>
  <c r="E227" i="24" s="1"/>
  <c r="C228" i="24" l="1"/>
  <c r="D228" i="24" s="1"/>
  <c r="E228" i="24" s="1"/>
  <c r="C229" i="24" l="1"/>
  <c r="D229" i="24" s="1"/>
  <c r="E229" i="24" s="1"/>
  <c r="C230" i="24" l="1"/>
  <c r="D230" i="24" s="1"/>
  <c r="E230" i="24" s="1"/>
  <c r="C231" i="24" l="1"/>
  <c r="D231" i="24" s="1"/>
  <c r="E231" i="24" s="1"/>
  <c r="C232" i="24" l="1"/>
  <c r="D232" i="24" s="1"/>
  <c r="E232" i="24" s="1"/>
  <c r="C233" i="24" l="1"/>
  <c r="D233" i="24" s="1"/>
  <c r="E233" i="24" s="1"/>
  <c r="C234" i="24" l="1"/>
  <c r="D234" i="24" s="1"/>
  <c r="E234" i="24" s="1"/>
  <c r="C235" i="24" l="1"/>
  <c r="D235" i="24" s="1"/>
  <c r="E235" i="24" s="1"/>
  <c r="C236" i="24" l="1"/>
  <c r="D236" i="24" s="1"/>
  <c r="E236" i="24" s="1"/>
  <c r="C237" i="24" l="1"/>
  <c r="D237" i="24" s="1"/>
  <c r="E237" i="24" s="1"/>
  <c r="C238" i="24" l="1"/>
  <c r="D238" i="24" s="1"/>
  <c r="E238" i="24" s="1"/>
  <c r="C239" i="24" l="1"/>
  <c r="D239" i="24" s="1"/>
  <c r="E239" i="24" s="1"/>
  <c r="C240" i="24" l="1"/>
  <c r="D240" i="24" s="1"/>
  <c r="E240" i="24" s="1"/>
  <c r="C241" i="24" l="1"/>
  <c r="D241" i="24" s="1"/>
  <c r="E241" i="24" s="1"/>
  <c r="C242" i="24" l="1"/>
  <c r="D242" i="24" s="1"/>
  <c r="E242" i="24" s="1"/>
  <c r="C243" i="24" l="1"/>
  <c r="D243" i="24" s="1"/>
  <c r="E243" i="24" s="1"/>
  <c r="C244" i="24" l="1"/>
  <c r="D244" i="24" s="1"/>
  <c r="E244" i="24" s="1"/>
  <c r="C245" i="24" l="1"/>
  <c r="D245" i="24" s="1"/>
  <c r="E245" i="24" s="1"/>
  <c r="C246" i="24" l="1"/>
  <c r="D246" i="24" s="1"/>
  <c r="E246" i="24" s="1"/>
  <c r="C247" i="24" l="1"/>
  <c r="D247" i="24" s="1"/>
  <c r="E247" i="24" s="1"/>
  <c r="C248" i="24" l="1"/>
  <c r="D248" i="24" s="1"/>
  <c r="E248" i="24" s="1"/>
  <c r="C249" i="24" l="1"/>
  <c r="D249" i="24" s="1"/>
  <c r="E249" i="24" s="1"/>
  <c r="C250" i="24" l="1"/>
  <c r="D250" i="24" s="1"/>
  <c r="E250" i="24" s="1"/>
  <c r="C251" i="24" l="1"/>
  <c r="D251" i="24" s="1"/>
  <c r="E251" i="24" s="1"/>
  <c r="C252" i="24" l="1"/>
  <c r="D252" i="24" s="1"/>
  <c r="E252" i="24" s="1"/>
  <c r="C253" i="24" l="1"/>
  <c r="D253" i="24" s="1"/>
  <c r="E253" i="24" s="1"/>
  <c r="C254" i="24" l="1"/>
  <c r="D254" i="24" s="1"/>
  <c r="E254" i="24" s="1"/>
  <c r="C255" i="24" l="1"/>
  <c r="D255" i="24" s="1"/>
  <c r="E255" i="24" s="1"/>
  <c r="C256" i="24" l="1"/>
  <c r="D256" i="24" s="1"/>
  <c r="E256" i="24" s="1"/>
  <c r="C257" i="24" l="1"/>
  <c r="D257" i="24" s="1"/>
  <c r="E257" i="24" s="1"/>
  <c r="C258" i="24" l="1"/>
  <c r="D258" i="24" s="1"/>
  <c r="E258" i="24" s="1"/>
  <c r="C259" i="24" l="1"/>
  <c r="D259" i="24" s="1"/>
  <c r="E259" i="24" s="1"/>
  <c r="C260" i="24" l="1"/>
  <c r="D260" i="24" s="1"/>
  <c r="E260" i="24" s="1"/>
  <c r="C261" i="24" l="1"/>
  <c r="D261" i="24" s="1"/>
  <c r="E261" i="24" s="1"/>
  <c r="C262" i="24" l="1"/>
  <c r="D262" i="24" s="1"/>
  <c r="E262" i="24" s="1"/>
  <c r="C263" i="24" l="1"/>
  <c r="D263" i="24" s="1"/>
  <c r="E263" i="24" s="1"/>
  <c r="C264" i="24" l="1"/>
  <c r="D264" i="24" s="1"/>
  <c r="E264" i="24" s="1"/>
  <c r="C265" i="24" l="1"/>
  <c r="D265" i="24" s="1"/>
  <c r="E265" i="24" s="1"/>
  <c r="C266" i="24" l="1"/>
  <c r="D266" i="24" s="1"/>
  <c r="E266" i="24" s="1"/>
  <c r="C267" i="24" l="1"/>
  <c r="D267" i="24" s="1"/>
  <c r="E267" i="24" s="1"/>
  <c r="C268" i="24" l="1"/>
  <c r="D268" i="24" s="1"/>
  <c r="E268" i="24" s="1"/>
  <c r="C269" i="24" l="1"/>
  <c r="D269" i="24" s="1"/>
  <c r="E269" i="24" s="1"/>
  <c r="C270" i="24" l="1"/>
  <c r="D270" i="24" s="1"/>
  <c r="E270" i="24" s="1"/>
  <c r="C271" i="24" l="1"/>
  <c r="D271" i="24" s="1"/>
  <c r="E271" i="24" s="1"/>
  <c r="C272" i="24" l="1"/>
  <c r="D272" i="24" s="1"/>
  <c r="E272" i="24" s="1"/>
  <c r="C273" i="24" l="1"/>
  <c r="D273" i="24" s="1"/>
  <c r="E273" i="24" s="1"/>
  <c r="C274" i="24" l="1"/>
  <c r="D274" i="24" s="1"/>
  <c r="E274" i="24" s="1"/>
  <c r="C275" i="24" l="1"/>
  <c r="D275" i="24" s="1"/>
  <c r="E275" i="24" s="1"/>
  <c r="C276" i="24" l="1"/>
  <c r="D276" i="24" s="1"/>
  <c r="E276" i="24" s="1"/>
  <c r="C277" i="24" l="1"/>
  <c r="D277" i="24" s="1"/>
  <c r="E277" i="24" s="1"/>
  <c r="C278" i="24" l="1"/>
  <c r="D278" i="24" s="1"/>
  <c r="E278" i="24" s="1"/>
  <c r="C279" i="24" l="1"/>
  <c r="D279" i="24" s="1"/>
  <c r="E279" i="24" s="1"/>
  <c r="C280" i="24" l="1"/>
  <c r="D280" i="24" s="1"/>
  <c r="E280" i="24" s="1"/>
  <c r="C281" i="24" l="1"/>
  <c r="D281" i="24" s="1"/>
  <c r="E281" i="24" s="1"/>
  <c r="C282" i="24" l="1"/>
  <c r="D282" i="24" s="1"/>
  <c r="E282" i="24" s="1"/>
  <c r="C283" i="24" l="1"/>
  <c r="D283" i="24" s="1"/>
  <c r="E283" i="24" s="1"/>
  <c r="C284" i="24" l="1"/>
  <c r="D284" i="24" s="1"/>
  <c r="E284" i="24" s="1"/>
  <c r="C285" i="24" l="1"/>
  <c r="D285" i="24" s="1"/>
  <c r="E285" i="24" s="1"/>
  <c r="C286" i="24" l="1"/>
  <c r="D286" i="24" s="1"/>
  <c r="E286" i="24" s="1"/>
  <c r="C287" i="24" l="1"/>
  <c r="D287" i="24" s="1"/>
  <c r="E287" i="24" s="1"/>
  <c r="C288" i="24" l="1"/>
  <c r="D288" i="24" s="1"/>
  <c r="E288" i="24" s="1"/>
  <c r="C289" i="24" l="1"/>
  <c r="D289" i="24" s="1"/>
  <c r="E289" i="24" s="1"/>
  <c r="C290" i="24" l="1"/>
  <c r="D290" i="24" s="1"/>
  <c r="E290" i="24" s="1"/>
  <c r="C291" i="24" l="1"/>
  <c r="D291" i="24" s="1"/>
  <c r="E291" i="24" s="1"/>
  <c r="C292" i="24" l="1"/>
  <c r="D292" i="24" s="1"/>
  <c r="E292" i="24" s="1"/>
  <c r="C293" i="24" l="1"/>
  <c r="D293" i="24" s="1"/>
  <c r="E293" i="24" s="1"/>
  <c r="C294" i="24" l="1"/>
  <c r="D294" i="24" s="1"/>
  <c r="E294" i="24" s="1"/>
  <c r="C295" i="24" l="1"/>
  <c r="D295" i="24" s="1"/>
  <c r="E295" i="24" s="1"/>
  <c r="C296" i="24" l="1"/>
  <c r="D296" i="24" s="1"/>
  <c r="E296" i="24" s="1"/>
  <c r="C297" i="24" l="1"/>
  <c r="D297" i="24" s="1"/>
  <c r="E297" i="24" s="1"/>
  <c r="C298" i="24" l="1"/>
  <c r="D298" i="24" s="1"/>
  <c r="E298" i="24" s="1"/>
  <c r="C299" i="24" l="1"/>
  <c r="D299" i="24" s="1"/>
  <c r="E299" i="24" s="1"/>
  <c r="C300" i="24" l="1"/>
  <c r="D300" i="24" s="1"/>
  <c r="E300" i="24" s="1"/>
  <c r="C301" i="24" l="1"/>
  <c r="D301" i="24" s="1"/>
  <c r="E301" i="24" s="1"/>
  <c r="C302" i="24" l="1"/>
  <c r="D302" i="24" s="1"/>
  <c r="E302" i="24" s="1"/>
  <c r="C303" i="24" l="1"/>
  <c r="D303" i="24" s="1"/>
  <c r="E303" i="24" s="1"/>
  <c r="C304" i="24" l="1"/>
  <c r="D304" i="24" s="1"/>
  <c r="E304" i="24" s="1"/>
  <c r="C305" i="24" l="1"/>
  <c r="D305" i="24" s="1"/>
  <c r="E305" i="24" s="1"/>
  <c r="C306" i="24" l="1"/>
  <c r="D306" i="24" s="1"/>
  <c r="E306" i="24" s="1"/>
  <c r="C307" i="24" l="1"/>
  <c r="D307" i="24" s="1"/>
  <c r="E307" i="24" s="1"/>
  <c r="C308" i="24" l="1"/>
  <c r="D308" i="24" s="1"/>
  <c r="E308" i="24" s="1"/>
  <c r="C309" i="24" l="1"/>
  <c r="D309" i="24" s="1"/>
  <c r="E309" i="24" s="1"/>
  <c r="C310" i="24" l="1"/>
  <c r="D310" i="24" s="1"/>
  <c r="E310" i="24" s="1"/>
  <c r="C311" i="24" l="1"/>
  <c r="D311" i="24" s="1"/>
  <c r="E311" i="24" s="1"/>
  <c r="C312" i="24" l="1"/>
  <c r="D312" i="24" s="1"/>
  <c r="E312" i="24" s="1"/>
  <c r="C313" i="24" l="1"/>
  <c r="D313" i="24" s="1"/>
  <c r="E313" i="24" s="1"/>
  <c r="C314" i="24" l="1"/>
  <c r="D314" i="24" s="1"/>
  <c r="E314" i="24" s="1"/>
  <c r="C315" i="24" l="1"/>
  <c r="D315" i="24" s="1"/>
  <c r="E315" i="24" s="1"/>
  <c r="C316" i="24" l="1"/>
  <c r="D316" i="24" s="1"/>
  <c r="E316" i="24" s="1"/>
  <c r="C317" i="24" l="1"/>
  <c r="D317" i="24" s="1"/>
  <c r="E317" i="24" s="1"/>
  <c r="C318" i="24" l="1"/>
  <c r="D318" i="24" s="1"/>
  <c r="E318" i="24" s="1"/>
  <c r="C319" i="24" l="1"/>
  <c r="D319" i="24" s="1"/>
  <c r="E319" i="24" s="1"/>
  <c r="C320" i="24" l="1"/>
  <c r="D320" i="24" s="1"/>
  <c r="E320" i="24" s="1"/>
  <c r="C321" i="24" l="1"/>
  <c r="D321" i="24" s="1"/>
  <c r="E321" i="24" s="1"/>
  <c r="C322" i="24" l="1"/>
  <c r="D322" i="24" s="1"/>
  <c r="E322" i="24" s="1"/>
  <c r="C323" i="24" l="1"/>
  <c r="D323" i="24" s="1"/>
  <c r="E323" i="24" s="1"/>
  <c r="C324" i="24" l="1"/>
  <c r="D324" i="24" s="1"/>
  <c r="E324" i="24" s="1"/>
  <c r="C325" i="24" l="1"/>
  <c r="D325" i="24" s="1"/>
  <c r="E325" i="24" s="1"/>
  <c r="C326" i="24" l="1"/>
  <c r="D326" i="24" s="1"/>
  <c r="E326" i="24" s="1"/>
  <c r="C327" i="24" l="1"/>
  <c r="D327" i="24" s="1"/>
  <c r="E327" i="24" s="1"/>
  <c r="C328" i="24" l="1"/>
  <c r="D328" i="24" s="1"/>
  <c r="E328" i="24" s="1"/>
  <c r="C329" i="24" l="1"/>
  <c r="D329" i="24" s="1"/>
  <c r="E329" i="24" s="1"/>
  <c r="C330" i="24" l="1"/>
  <c r="D330" i="24" s="1"/>
  <c r="E330" i="24" s="1"/>
  <c r="C331" i="24" l="1"/>
  <c r="D331" i="24" s="1"/>
  <c r="E331" i="24" s="1"/>
  <c r="C332" i="24" l="1"/>
  <c r="D332" i="24" s="1"/>
  <c r="E332" i="24" s="1"/>
  <c r="C333" i="24" l="1"/>
  <c r="D333" i="24" s="1"/>
  <c r="E333" i="24" s="1"/>
  <c r="C334" i="24" l="1"/>
  <c r="D334" i="24" s="1"/>
  <c r="E334" i="24" s="1"/>
  <c r="C335" i="24" l="1"/>
  <c r="D335" i="24" s="1"/>
  <c r="E335" i="24" s="1"/>
  <c r="C336" i="24" l="1"/>
  <c r="D336" i="24" s="1"/>
  <c r="E336" i="24" s="1"/>
  <c r="C337" i="24" l="1"/>
  <c r="D337" i="24" s="1"/>
  <c r="E337" i="24" s="1"/>
  <c r="C338" i="24" l="1"/>
  <c r="D338" i="24" s="1"/>
  <c r="E338" i="24" s="1"/>
  <c r="C339" i="24" l="1"/>
  <c r="D339" i="24" s="1"/>
  <c r="E339" i="24" s="1"/>
  <c r="C340" i="24" l="1"/>
  <c r="D340" i="24" s="1"/>
  <c r="E340" i="24" s="1"/>
  <c r="C341" i="24" l="1"/>
  <c r="D341" i="24" s="1"/>
  <c r="E341" i="24" s="1"/>
  <c r="C342" i="24" l="1"/>
  <c r="D342" i="24" s="1"/>
  <c r="E342" i="24" s="1"/>
  <c r="C343" i="24" l="1"/>
  <c r="D343" i="24" s="1"/>
  <c r="E343" i="24" s="1"/>
  <c r="C344" i="24" l="1"/>
  <c r="D344" i="24" s="1"/>
  <c r="E344" i="24" s="1"/>
  <c r="C345" i="24" l="1"/>
  <c r="D345" i="24" s="1"/>
  <c r="E345" i="24" s="1"/>
  <c r="C346" i="24" l="1"/>
  <c r="D346" i="24" s="1"/>
  <c r="E346" i="24" s="1"/>
  <c r="C347" i="24" l="1"/>
  <c r="D347" i="24" s="1"/>
  <c r="E347" i="24" s="1"/>
  <c r="C348" i="24" l="1"/>
  <c r="D348" i="24" s="1"/>
  <c r="E348" i="24" s="1"/>
  <c r="C349" i="24" l="1"/>
  <c r="D349" i="24" s="1"/>
  <c r="E349" i="24" s="1"/>
  <c r="C350" i="24" l="1"/>
  <c r="D350" i="24" s="1"/>
  <c r="E350" i="24" s="1"/>
  <c r="C351" i="24" l="1"/>
  <c r="D351" i="24" s="1"/>
  <c r="E351" i="24" s="1"/>
  <c r="C352" i="24" l="1"/>
  <c r="D352" i="24" s="1"/>
  <c r="E352" i="24" s="1"/>
  <c r="C353" i="24" l="1"/>
  <c r="D353" i="24" s="1"/>
  <c r="E353" i="24" s="1"/>
  <c r="C354" i="24" l="1"/>
  <c r="D354" i="24" s="1"/>
  <c r="E354" i="24" s="1"/>
  <c r="C355" i="24" l="1"/>
  <c r="D355" i="24" s="1"/>
  <c r="E355" i="24" s="1"/>
  <c r="C356" i="24" l="1"/>
  <c r="D356" i="24" s="1"/>
  <c r="E356" i="24" s="1"/>
  <c r="C357" i="24" l="1"/>
  <c r="D357" i="24" s="1"/>
  <c r="E357" i="24" s="1"/>
  <c r="C358" i="24" l="1"/>
  <c r="D358" i="24" s="1"/>
  <c r="E358" i="24" s="1"/>
  <c r="C359" i="24" l="1"/>
  <c r="D359" i="24" s="1"/>
  <c r="E359" i="24" s="1"/>
  <c r="C360" i="24" l="1"/>
  <c r="D360" i="24" s="1"/>
  <c r="E360" i="24" s="1"/>
  <c r="C361" i="24" l="1"/>
  <c r="D361" i="24" s="1"/>
  <c r="E361" i="24" s="1"/>
  <c r="C362" i="24" l="1"/>
  <c r="D362" i="24" s="1"/>
  <c r="E362" i="24" s="1"/>
  <c r="C363" i="24" l="1"/>
  <c r="D363" i="24" s="1"/>
  <c r="E363" i="24" s="1"/>
  <c r="C364" i="24" l="1"/>
  <c r="D364" i="24" s="1"/>
  <c r="E364" i="24" s="1"/>
  <c r="C365" i="24" l="1"/>
  <c r="D365" i="24" s="1"/>
  <c r="E365" i="24" s="1"/>
  <c r="C366" i="24" l="1"/>
  <c r="D366" i="24" s="1"/>
  <c r="E366" i="24" s="1"/>
  <c r="C367" i="24" l="1"/>
  <c r="D367" i="24" s="1"/>
  <c r="E367" i="24" s="1"/>
  <c r="C368" i="24" l="1"/>
  <c r="D368" i="24" s="1"/>
  <c r="E368" i="24" s="1"/>
  <c r="C369" i="24" l="1"/>
  <c r="D369" i="24" s="1"/>
  <c r="E369" i="24" s="1"/>
  <c r="C370" i="24" l="1"/>
  <c r="D370" i="24" s="1"/>
  <c r="E370" i="24" s="1"/>
  <c r="C371" i="24" l="1"/>
  <c r="D371" i="24" s="1"/>
  <c r="E371" i="24" s="1"/>
  <c r="C372" i="24" l="1"/>
  <c r="D372" i="24" s="1"/>
  <c r="E372" i="24" s="1"/>
  <c r="C373" i="24" l="1"/>
  <c r="D373" i="24" s="1"/>
  <c r="E373" i="24" s="1"/>
  <c r="N15" i="17" l="1"/>
  <c r="F15" i="17"/>
  <c r="G14" i="17" s="1"/>
  <c r="M15" i="17"/>
  <c r="L15" i="17"/>
  <c r="L9" i="19"/>
  <c r="K15" i="17"/>
  <c r="V6" i="25"/>
  <c r="I15" i="17"/>
  <c r="H15" i="17"/>
  <c r="O15" i="17"/>
  <c r="G15" i="17"/>
  <c r="DZ56" i="1"/>
  <c r="DZ55" i="1" s="1"/>
  <c r="DJ56" i="1"/>
  <c r="DJ55" i="1" s="1"/>
  <c r="DB56" i="1"/>
  <c r="DB55" i="1" s="1"/>
  <c r="CT56" i="1"/>
  <c r="CT55" i="1" s="1"/>
  <c r="CL56" i="1"/>
  <c r="CL55" i="1" s="1"/>
  <c r="CD56" i="1"/>
  <c r="CD55" i="1" s="1"/>
  <c r="BV56" i="1"/>
  <c r="BV55" i="1" s="1"/>
  <c r="BN56" i="1"/>
  <c r="BN55" i="1" s="1"/>
  <c r="BF56" i="1"/>
  <c r="BF55" i="1" s="1"/>
  <c r="AX56" i="1"/>
  <c r="AX55" i="1" s="1"/>
  <c r="AP56" i="1"/>
  <c r="AP55" i="1" s="1"/>
  <c r="AH56" i="1"/>
  <c r="AH55" i="1" s="1"/>
  <c r="Z56" i="1"/>
  <c r="Z55" i="1" s="1"/>
  <c r="J56" i="1"/>
  <c r="J55" i="1" s="1"/>
  <c r="DY56" i="1"/>
  <c r="DY55" i="1" s="1"/>
  <c r="DQ56" i="1"/>
  <c r="DQ55" i="1" s="1"/>
  <c r="DI56" i="1"/>
  <c r="DI55" i="1" s="1"/>
  <c r="DA56" i="1"/>
  <c r="DA55" i="1" s="1"/>
  <c r="CS56" i="1"/>
  <c r="CS55" i="1" s="1"/>
  <c r="CK56" i="1"/>
  <c r="CK55" i="1" s="1"/>
  <c r="CC56" i="1"/>
  <c r="CC55" i="1" s="1"/>
  <c r="BU56" i="1"/>
  <c r="BU55" i="1" s="1"/>
  <c r="BM56" i="1"/>
  <c r="BM55" i="1" s="1"/>
  <c r="AW56" i="1"/>
  <c r="AW55" i="1" s="1"/>
  <c r="AO56" i="1"/>
  <c r="AO55" i="1" s="1"/>
  <c r="AG56" i="1"/>
  <c r="AG55" i="1" s="1"/>
  <c r="Y56" i="1"/>
  <c r="Y55" i="1" s="1"/>
  <c r="Q56" i="1"/>
  <c r="Q55" i="1" s="1"/>
  <c r="I56" i="1"/>
  <c r="I55" i="1" s="1"/>
  <c r="DX56" i="1"/>
  <c r="DX55" i="1" s="1"/>
  <c r="DP56" i="1"/>
  <c r="DP55" i="1" s="1"/>
  <c r="DH56" i="1"/>
  <c r="DH55" i="1" s="1"/>
  <c r="CZ56" i="1"/>
  <c r="CZ55" i="1" s="1"/>
  <c r="CJ56" i="1"/>
  <c r="CJ55" i="1" s="1"/>
  <c r="CB56" i="1"/>
  <c r="CB55" i="1" s="1"/>
  <c r="BT56" i="1"/>
  <c r="BT55" i="1" s="1"/>
  <c r="BL56" i="1"/>
  <c r="BL55" i="1" s="1"/>
  <c r="BD56" i="1"/>
  <c r="BD55" i="1" s="1"/>
  <c r="AV56" i="1"/>
  <c r="AV55" i="1" s="1"/>
  <c r="AN56" i="1"/>
  <c r="AN55" i="1" s="1"/>
  <c r="AF56" i="1"/>
  <c r="X56" i="1"/>
  <c r="X55" i="1" s="1"/>
  <c r="P56" i="1"/>
  <c r="P55" i="1" s="1"/>
  <c r="H56" i="1"/>
  <c r="H55" i="1" s="1"/>
  <c r="DW56" i="1"/>
  <c r="DW55" i="1" s="1"/>
  <c r="DO56" i="1"/>
  <c r="DO55" i="1" s="1"/>
  <c r="DG56" i="1"/>
  <c r="DG55" i="1" s="1"/>
  <c r="CY56" i="1"/>
  <c r="CY55" i="1" s="1"/>
  <c r="CQ56" i="1"/>
  <c r="CQ55" i="1" s="1"/>
  <c r="CI56" i="1"/>
  <c r="CI55" i="1" s="1"/>
  <c r="CA56" i="1"/>
  <c r="CA55" i="1" s="1"/>
  <c r="BS56" i="1"/>
  <c r="BS55" i="1" s="1"/>
  <c r="BK56" i="1"/>
  <c r="BK55" i="1" s="1"/>
  <c r="BC56" i="1"/>
  <c r="BC55" i="1" s="1"/>
  <c r="AU56" i="1"/>
  <c r="AU55" i="1" s="1"/>
  <c r="AM56" i="1"/>
  <c r="AM55" i="1" s="1"/>
  <c r="W56" i="1"/>
  <c r="W55" i="1" s="1"/>
  <c r="O56" i="1"/>
  <c r="O55" i="1" s="1"/>
  <c r="G56" i="1"/>
  <c r="G55" i="1" s="1"/>
  <c r="ED56" i="1"/>
  <c r="ED55" i="1" s="1"/>
  <c r="DV56" i="1"/>
  <c r="DV55" i="1" s="1"/>
  <c r="DN56" i="1"/>
  <c r="DN55" i="1" s="1"/>
  <c r="DF56" i="1"/>
  <c r="DF55" i="1" s="1"/>
  <c r="CX56" i="1"/>
  <c r="CX55" i="1" s="1"/>
  <c r="CP56" i="1"/>
  <c r="CP55" i="1" s="1"/>
  <c r="CH56" i="1"/>
  <c r="CH55" i="1" s="1"/>
  <c r="BZ56" i="1"/>
  <c r="BZ55" i="1" s="1"/>
  <c r="BJ56" i="1"/>
  <c r="BJ55" i="1" s="1"/>
  <c r="BB56" i="1"/>
  <c r="BB55" i="1" s="1"/>
  <c r="AT56" i="1"/>
  <c r="AT55" i="1" s="1"/>
  <c r="AL56" i="1"/>
  <c r="AL55" i="1" s="1"/>
  <c r="V56" i="1"/>
  <c r="V55" i="1" s="1"/>
  <c r="N56" i="1"/>
  <c r="N55" i="1" s="1"/>
  <c r="F56" i="1"/>
  <c r="F55" i="1" s="1"/>
  <c r="EC56" i="1"/>
  <c r="EC55" i="1" s="1"/>
  <c r="DU56" i="1"/>
  <c r="DU55" i="1" s="1"/>
  <c r="DM56" i="1"/>
  <c r="DM55" i="1" s="1"/>
  <c r="CW56" i="1"/>
  <c r="CW55" i="1" s="1"/>
  <c r="CO56" i="1"/>
  <c r="CO55" i="1" s="1"/>
  <c r="CG56" i="1"/>
  <c r="CG55" i="1" s="1"/>
  <c r="BY56" i="1"/>
  <c r="BY55" i="1" s="1"/>
  <c r="BI56" i="1"/>
  <c r="BI55" i="1" s="1"/>
  <c r="BA56" i="1"/>
  <c r="BA55" i="1" s="1"/>
  <c r="AS56" i="1"/>
  <c r="AS55" i="1" s="1"/>
  <c r="AK56" i="1"/>
  <c r="AK55" i="1" s="1"/>
  <c r="AC56" i="1"/>
  <c r="AC55" i="1" s="1"/>
  <c r="U56" i="1"/>
  <c r="U55" i="1" s="1"/>
  <c r="M56" i="1"/>
  <c r="M55" i="1" s="1"/>
  <c r="EB56" i="1"/>
  <c r="EB55" i="1" s="1"/>
  <c r="DT56" i="1"/>
  <c r="DT55" i="1" s="1"/>
  <c r="DL56" i="1"/>
  <c r="DL55" i="1" s="1"/>
  <c r="DD56" i="1"/>
  <c r="DD55" i="1" s="1"/>
  <c r="CV56" i="1"/>
  <c r="CV55" i="1" s="1"/>
  <c r="CN56" i="1"/>
  <c r="CN55" i="1" s="1"/>
  <c r="CF56" i="1"/>
  <c r="CF55" i="1" s="1"/>
  <c r="BX56" i="1"/>
  <c r="BX55" i="1" s="1"/>
  <c r="BP56" i="1"/>
  <c r="BP55" i="1" s="1"/>
  <c r="BH56" i="1"/>
  <c r="BH55" i="1" s="1"/>
  <c r="AZ56" i="1"/>
  <c r="AZ55" i="1" s="1"/>
  <c r="AJ56" i="1"/>
  <c r="AJ55" i="1" s="1"/>
  <c r="AB56" i="1"/>
  <c r="AB55" i="1" s="1"/>
  <c r="T56" i="1"/>
  <c r="T55" i="1" s="1"/>
  <c r="L56" i="1"/>
  <c r="L55" i="1" s="1"/>
  <c r="EA56" i="1"/>
  <c r="EA55" i="1" s="1"/>
  <c r="DS56" i="1"/>
  <c r="DK56" i="1"/>
  <c r="DK55" i="1" s="1"/>
  <c r="DC56" i="1"/>
  <c r="DC55" i="1" s="1"/>
  <c r="CU56" i="1"/>
  <c r="CU55" i="1" s="1"/>
  <c r="CM56" i="1"/>
  <c r="CM55" i="1" s="1"/>
  <c r="BW56" i="1"/>
  <c r="BW55" i="1" s="1"/>
  <c r="BO56" i="1"/>
  <c r="BO55" i="1" s="1"/>
  <c r="BG56" i="1"/>
  <c r="BG55" i="1" s="1"/>
  <c r="AY56" i="1"/>
  <c r="AY55" i="1" s="1"/>
  <c r="AI56" i="1"/>
  <c r="AI55" i="1" s="1"/>
  <c r="AA56" i="1"/>
  <c r="AA55" i="1" s="1"/>
  <c r="S56" i="1"/>
  <c r="K56" i="1"/>
  <c r="K55" i="1" s="1"/>
  <c r="V14" i="25" l="1"/>
  <c r="H14" i="17"/>
  <c r="H16" i="17" s="1"/>
  <c r="G16" i="17"/>
  <c r="M14" i="17"/>
  <c r="M16" i="17" s="1"/>
  <c r="CE55" i="1"/>
  <c r="DR56" i="1"/>
  <c r="EE56" i="1"/>
  <c r="DE56" i="1"/>
  <c r="CR55" i="1"/>
  <c r="CE56" i="1"/>
  <c r="K14" i="17"/>
  <c r="K16" i="17" s="1"/>
  <c r="DR55" i="1"/>
  <c r="R55" i="1"/>
  <c r="F22" i="17" s="1"/>
  <c r="BE56" i="1"/>
  <c r="F16" i="17"/>
  <c r="R56" i="1"/>
  <c r="BE55" i="1"/>
  <c r="DE55" i="1"/>
  <c r="L14" i="17"/>
  <c r="L16" i="17" s="1"/>
  <c r="CR56" i="1"/>
  <c r="DS55" i="1"/>
  <c r="EE55" i="1" s="1"/>
  <c r="N14" i="17"/>
  <c r="N16" i="17" s="1"/>
  <c r="I14" i="17"/>
  <c r="I16" i="17" s="1"/>
  <c r="O14" i="17"/>
  <c r="O16" i="17" s="1"/>
  <c r="S55" i="1"/>
  <c r="J14" i="17"/>
  <c r="J16" i="17" s="1"/>
  <c r="V16" i="25" l="1"/>
  <c r="V15" i="25"/>
  <c r="G20" i="17"/>
  <c r="F23" i="17"/>
  <c r="I11" i="19"/>
  <c r="I13" i="19" s="1"/>
  <c r="F8" i="38"/>
  <c r="H8" i="38" s="1"/>
  <c r="V64" i="3"/>
  <c r="D21" i="25"/>
  <c r="D22" i="25" s="1"/>
  <c r="D24" i="25" s="1"/>
  <c r="L22" i="17"/>
  <c r="I21" i="25"/>
  <c r="I22" i="25" s="1"/>
  <c r="I24" i="25" s="1"/>
  <c r="N22" i="17"/>
  <c r="K22" i="17"/>
  <c r="L21" i="25"/>
  <c r="L22" i="25" s="1"/>
  <c r="L24" i="25" s="1"/>
  <c r="AD56" i="1"/>
  <c r="J21" i="25"/>
  <c r="J22" i="25" s="1"/>
  <c r="J24" i="25" s="1"/>
  <c r="M22" i="17"/>
  <c r="K21" i="25"/>
  <c r="K22" i="25" s="1"/>
  <c r="K24" i="25" s="1"/>
  <c r="G21" i="25"/>
  <c r="G22" i="25" s="1"/>
  <c r="G24" i="25" s="1"/>
  <c r="I22" i="17"/>
  <c r="O22" i="17"/>
  <c r="M24" i="25"/>
  <c r="F32" i="17" l="1"/>
  <c r="F31" i="17" s="1"/>
  <c r="F38" i="17"/>
  <c r="F36" i="17" s="1"/>
  <c r="I12" i="19"/>
  <c r="G8" i="38"/>
  <c r="V67" i="3"/>
  <c r="AD55" i="1"/>
  <c r="AE55" i="1" s="1"/>
  <c r="AE56" i="1"/>
  <c r="G34" i="17" l="1"/>
  <c r="F39" i="17"/>
  <c r="G28" i="17" s="1"/>
  <c r="AQ56" i="1"/>
  <c r="AR56" i="1" s="1"/>
  <c r="F24" i="17"/>
  <c r="BQ56" i="1"/>
  <c r="BQ55" i="1" s="1"/>
  <c r="BR55" i="1" s="1"/>
  <c r="G22" i="17"/>
  <c r="E21" i="25"/>
  <c r="E22" i="25" s="1"/>
  <c r="H20" i="17" l="1"/>
  <c r="G29" i="17"/>
  <c r="AQ55" i="1"/>
  <c r="AR55" i="1" s="1"/>
  <c r="H22" i="17" s="1"/>
  <c r="I20" i="17" s="1"/>
  <c r="F40" i="17"/>
  <c r="F46" i="17" s="1"/>
  <c r="BR56" i="1"/>
  <c r="H21" i="25"/>
  <c r="H22" i="25" s="1"/>
  <c r="H24" i="25" s="1"/>
  <c r="J22" i="17"/>
  <c r="G23" i="17"/>
  <c r="J20" i="17" l="1"/>
  <c r="G32" i="17"/>
  <c r="D27" i="25"/>
  <c r="D28" i="25" s="1"/>
  <c r="F21" i="25"/>
  <c r="F22" i="25" s="1"/>
  <c r="F24" i="25" s="1"/>
  <c r="G24" i="17"/>
  <c r="O20" i="17"/>
  <c r="O23" i="17" s="1"/>
  <c r="N20" i="17"/>
  <c r="M20" i="17"/>
  <c r="L20" i="17"/>
  <c r="K20" i="17"/>
  <c r="H23" i="17"/>
  <c r="M23" i="17" l="1"/>
  <c r="J23" i="17"/>
  <c r="I23" i="17"/>
  <c r="N23" i="17"/>
  <c r="K23" i="17"/>
  <c r="L23" i="17"/>
  <c r="H24" i="17"/>
  <c r="G33" i="17"/>
  <c r="O15" i="19"/>
  <c r="I24" i="17" l="1"/>
  <c r="J24" i="17"/>
  <c r="G31" i="17"/>
  <c r="D9" i="19"/>
  <c r="D8" i="16"/>
  <c r="O16" i="19"/>
  <c r="P15" i="19" s="1"/>
  <c r="H29" i="17" l="1"/>
  <c r="G38" i="17"/>
  <c r="G37" i="17"/>
  <c r="G41" i="17" s="1"/>
  <c r="P13" i="19"/>
  <c r="L16" i="19"/>
  <c r="P14" i="19"/>
  <c r="G39" i="17" l="1"/>
  <c r="H28" i="17" s="1"/>
  <c r="G36" i="17"/>
  <c r="H34" i="17" s="1"/>
  <c r="H38" i="17" s="1"/>
  <c r="P16" i="19"/>
  <c r="M15" i="19"/>
  <c r="L13" i="19"/>
  <c r="M13" i="19" s="1"/>
  <c r="M16" i="19" s="1"/>
  <c r="M14" i="19"/>
  <c r="G40" i="17" l="1"/>
  <c r="G46" i="17" s="1"/>
  <c r="V36" i="25"/>
  <c r="R10" i="25"/>
  <c r="D7" i="16" s="1"/>
  <c r="F5" i="38"/>
  <c r="H5" i="38" s="1"/>
  <c r="C22" i="25"/>
  <c r="D17" i="36"/>
  <c r="D19" i="36" s="1"/>
  <c r="V28" i="25"/>
  <c r="V27" i="25"/>
  <c r="V33" i="25"/>
  <c r="V29" i="25"/>
  <c r="V32" i="25"/>
  <c r="V30" i="25"/>
  <c r="V31" i="25"/>
  <c r="V34" i="25"/>
  <c r="E14" i="17"/>
  <c r="E16" i="17" s="1"/>
  <c r="E17" i="17" s="1"/>
  <c r="AA7" i="25" s="1"/>
  <c r="G9" i="16" s="1"/>
  <c r="F45" i="3"/>
  <c r="C19" i="25"/>
  <c r="C15" i="25"/>
  <c r="E27" i="25" l="1"/>
  <c r="E28" i="25" s="1"/>
  <c r="H32" i="17"/>
  <c r="R39" i="25"/>
  <c r="G5" i="38"/>
  <c r="F64" i="1"/>
  <c r="G64" i="1" s="1"/>
  <c r="H64" i="1" s="1"/>
  <c r="I64" i="1" s="1"/>
  <c r="J64" i="1" s="1"/>
  <c r="K64" i="1" s="1"/>
  <c r="L64" i="1" s="1"/>
  <c r="M64" i="1" s="1"/>
  <c r="N64" i="1" s="1"/>
  <c r="O64" i="1" s="1"/>
  <c r="P64" i="1" s="1"/>
  <c r="Q64" i="1" s="1"/>
  <c r="R64" i="1" s="1"/>
  <c r="D5" i="38"/>
  <c r="AA6" i="25"/>
  <c r="E20" i="17"/>
  <c r="R27" i="25"/>
  <c r="R29" i="25"/>
  <c r="H39" i="17" l="1"/>
  <c r="H33" i="17"/>
  <c r="H37" i="17"/>
  <c r="E23" i="17"/>
  <c r="E46" i="17" s="1"/>
  <c r="S64" i="1"/>
  <c r="T64" i="1" s="1"/>
  <c r="U64" i="1" s="1"/>
  <c r="V64" i="1" s="1"/>
  <c r="W64" i="1" s="1"/>
  <c r="X64" i="1" s="1"/>
  <c r="Y64" i="1" s="1"/>
  <c r="Z64" i="1" s="1"/>
  <c r="AA64" i="1" s="1"/>
  <c r="AB64" i="1" s="1"/>
  <c r="AC64" i="1" s="1"/>
  <c r="AD64" i="1" s="1"/>
  <c r="AF64" i="1" s="1"/>
  <c r="AG64" i="1" s="1"/>
  <c r="AH64" i="1" s="1"/>
  <c r="AI64" i="1" s="1"/>
  <c r="AJ64" i="1" s="1"/>
  <c r="AK64" i="1" s="1"/>
  <c r="AL64" i="1" s="1"/>
  <c r="AM64" i="1" s="1"/>
  <c r="AN64" i="1" s="1"/>
  <c r="AO64" i="1" s="1"/>
  <c r="AP64" i="1" s="1"/>
  <c r="AQ64" i="1" s="1"/>
  <c r="I4" i="19"/>
  <c r="D6" i="38"/>
  <c r="H40" i="17" l="1"/>
  <c r="H46" i="17" s="1"/>
  <c r="H31" i="17"/>
  <c r="I28" i="17"/>
  <c r="I30" i="17" s="1"/>
  <c r="H36" i="17"/>
  <c r="I34" i="17" s="1"/>
  <c r="H41" i="17"/>
  <c r="E48" i="17"/>
  <c r="C28" i="25"/>
  <c r="C34" i="25" s="1"/>
  <c r="AE64" i="1"/>
  <c r="AR64" i="1"/>
  <c r="AS64" i="1"/>
  <c r="AT64" i="1" s="1"/>
  <c r="AU64" i="1" s="1"/>
  <c r="AV64" i="1" s="1"/>
  <c r="AW64" i="1" s="1"/>
  <c r="AX64" i="1" s="1"/>
  <c r="AY64" i="1" s="1"/>
  <c r="AZ64" i="1" s="1"/>
  <c r="BA64" i="1" s="1"/>
  <c r="BB64" i="1" s="1"/>
  <c r="BC64" i="1" s="1"/>
  <c r="BD64" i="1" s="1"/>
  <c r="I35" i="17" l="1"/>
  <c r="F48" i="17"/>
  <c r="F67" i="17" s="1"/>
  <c r="F68" i="17" s="1"/>
  <c r="F72" i="17" s="1"/>
  <c r="D51" i="25"/>
  <c r="F27" i="25"/>
  <c r="E67" i="17"/>
  <c r="E50" i="17"/>
  <c r="E84" i="17" s="1"/>
  <c r="E88" i="17" s="1"/>
  <c r="BF64" i="1"/>
  <c r="BG64" i="1" s="1"/>
  <c r="BH64" i="1" s="1"/>
  <c r="BI64" i="1" s="1"/>
  <c r="BJ64" i="1" s="1"/>
  <c r="BK64" i="1" s="1"/>
  <c r="BL64" i="1" s="1"/>
  <c r="BM64" i="1" s="1"/>
  <c r="BN64" i="1" s="1"/>
  <c r="BO64" i="1" s="1"/>
  <c r="BP64" i="1" s="1"/>
  <c r="BQ64" i="1" s="1"/>
  <c r="BE64" i="1"/>
  <c r="F49" i="17" l="1"/>
  <c r="F52" i="17" s="1"/>
  <c r="D50" i="25"/>
  <c r="AD8" i="25"/>
  <c r="AC8" i="25" s="1"/>
  <c r="F28" i="25"/>
  <c r="BS64" i="1"/>
  <c r="BT64" i="1" s="1"/>
  <c r="BU64" i="1" s="1"/>
  <c r="BV64" i="1" s="1"/>
  <c r="BW64" i="1" s="1"/>
  <c r="BX64" i="1" s="1"/>
  <c r="BY64" i="1" s="1"/>
  <c r="BZ64" i="1" s="1"/>
  <c r="CA64" i="1" s="1"/>
  <c r="CB64" i="1" s="1"/>
  <c r="CC64" i="1" s="1"/>
  <c r="CD64" i="1" s="1"/>
  <c r="BR64" i="1"/>
  <c r="F50" i="17" l="1"/>
  <c r="CF64" i="1"/>
  <c r="CG64" i="1" s="1"/>
  <c r="CH64" i="1" s="1"/>
  <c r="CI64" i="1" s="1"/>
  <c r="CJ64" i="1" s="1"/>
  <c r="CK64" i="1" s="1"/>
  <c r="CL64" i="1" s="1"/>
  <c r="CM64" i="1" s="1"/>
  <c r="CN64" i="1" s="1"/>
  <c r="CO64" i="1" s="1"/>
  <c r="CP64" i="1" s="1"/>
  <c r="CQ64" i="1" s="1"/>
  <c r="CE64" i="1"/>
  <c r="F61" i="17" l="1"/>
  <c r="F51" i="17"/>
  <c r="F85" i="17"/>
  <c r="F55" i="17"/>
  <c r="D29" i="25"/>
  <c r="D35" i="25" s="1"/>
  <c r="F56" i="17"/>
  <c r="F57" i="17" s="1"/>
  <c r="F69" i="17"/>
  <c r="CS64" i="1"/>
  <c r="CT64" i="1" s="1"/>
  <c r="CU64" i="1" s="1"/>
  <c r="CV64" i="1" s="1"/>
  <c r="CW64" i="1" s="1"/>
  <c r="CX64" i="1" s="1"/>
  <c r="CY64" i="1" s="1"/>
  <c r="CZ64" i="1" s="1"/>
  <c r="DA64" i="1" s="1"/>
  <c r="DB64" i="1" s="1"/>
  <c r="DC64" i="1" s="1"/>
  <c r="DD64" i="1" s="1"/>
  <c r="CR64" i="1"/>
  <c r="F58" i="17" l="1"/>
  <c r="F59" i="17" s="1"/>
  <c r="F62" i="17"/>
  <c r="DE64" i="1"/>
  <c r="DF64" i="1"/>
  <c r="DG64" i="1" s="1"/>
  <c r="DH64" i="1" s="1"/>
  <c r="DI64" i="1" s="1"/>
  <c r="DJ64" i="1" s="1"/>
  <c r="DK64" i="1" s="1"/>
  <c r="DL64" i="1" s="1"/>
  <c r="DM64" i="1" s="1"/>
  <c r="DN64" i="1" s="1"/>
  <c r="DO64" i="1" s="1"/>
  <c r="DP64" i="1" s="1"/>
  <c r="DQ64" i="1" s="1"/>
  <c r="G48" i="17" l="1"/>
  <c r="G67" i="17" s="1"/>
  <c r="F66" i="17"/>
  <c r="F70" i="17" s="1"/>
  <c r="D30" i="25"/>
  <c r="DR64" i="1"/>
  <c r="DS64" i="1"/>
  <c r="DT64" i="1" s="1"/>
  <c r="DU64" i="1" s="1"/>
  <c r="DV64" i="1" s="1"/>
  <c r="DW64" i="1" s="1"/>
  <c r="DX64" i="1" s="1"/>
  <c r="DY64" i="1" s="1"/>
  <c r="DZ64" i="1" s="1"/>
  <c r="EA64" i="1" s="1"/>
  <c r="EB64" i="1" s="1"/>
  <c r="EC64" i="1" s="1"/>
  <c r="ED64" i="1" s="1"/>
  <c r="EE64" i="1" s="1"/>
  <c r="G49" i="17" l="1"/>
  <c r="G52" i="17" s="1"/>
  <c r="F71" i="17"/>
  <c r="F74" i="17"/>
  <c r="F77" i="17" s="1"/>
  <c r="D31" i="25"/>
  <c r="G68" i="17" l="1"/>
  <c r="G72" i="17" s="1"/>
  <c r="G50" i="17"/>
  <c r="F78" i="17"/>
  <c r="F79" i="17"/>
  <c r="F84" i="17" s="1"/>
  <c r="G61" i="17" l="1"/>
  <c r="G62" i="17" s="1"/>
  <c r="G69" i="17"/>
  <c r="E29" i="25"/>
  <c r="E35" i="25" s="1"/>
  <c r="G85" i="17"/>
  <c r="G51" i="17"/>
  <c r="G55" i="17"/>
  <c r="G56" i="17"/>
  <c r="G57" i="17" s="1"/>
  <c r="F81" i="17"/>
  <c r="F80" i="17"/>
  <c r="C33" i="25"/>
  <c r="D32" i="25"/>
  <c r="D34" i="25" s="1"/>
  <c r="F87" i="17"/>
  <c r="F88" i="17" s="1"/>
  <c r="G58" i="17" l="1"/>
  <c r="G59" i="17" s="1"/>
  <c r="G66" i="17"/>
  <c r="E30" i="25"/>
  <c r="H48" i="17"/>
  <c r="H49" i="17" s="1"/>
  <c r="H50" i="17" s="1"/>
  <c r="AD9" i="25"/>
  <c r="H61" i="17" l="1"/>
  <c r="H67" i="17"/>
  <c r="H52" i="17"/>
  <c r="AC9" i="25"/>
  <c r="H55" i="17" l="1"/>
  <c r="F29" i="25"/>
  <c r="F35" i="25" s="1"/>
  <c r="H51" i="17"/>
  <c r="H85" i="17"/>
  <c r="H69" i="17"/>
  <c r="H56" i="17"/>
  <c r="H57" i="17" s="1"/>
  <c r="H58" i="17" l="1"/>
  <c r="H62" i="17" l="1"/>
  <c r="H59" i="17"/>
  <c r="H66" i="17" l="1"/>
  <c r="I48" i="17"/>
  <c r="F30" i="25"/>
  <c r="I49" i="17" l="1"/>
  <c r="I67" i="17"/>
  <c r="D20" i="36"/>
  <c r="E19" i="36"/>
  <c r="I52" i="17" l="1"/>
  <c r="E20" i="36"/>
  <c r="D21" i="36"/>
  <c r="E21" i="36" s="1"/>
  <c r="F19" i="36"/>
  <c r="G19" i="36" s="1"/>
  <c r="D22" i="36" l="1"/>
  <c r="F20" i="36"/>
  <c r="G20" i="36" l="1"/>
  <c r="F21" i="36"/>
  <c r="G21" i="36" s="1"/>
  <c r="E22" i="36"/>
  <c r="D23" i="36"/>
  <c r="E23" i="36" s="1"/>
  <c r="D24" i="36" l="1"/>
  <c r="E24" i="36" s="1"/>
  <c r="F22" i="36"/>
  <c r="G22" i="36" s="1"/>
  <c r="D25" i="36" l="1"/>
  <c r="E25" i="36" s="1"/>
  <c r="F23" i="36"/>
  <c r="G23" i="36" s="1"/>
  <c r="D26" i="36" l="1"/>
  <c r="F24" i="36"/>
  <c r="G24" i="36" s="1"/>
  <c r="E26" i="36" l="1"/>
  <c r="D27" i="36"/>
  <c r="F25" i="36"/>
  <c r="G25" i="36" s="1"/>
  <c r="D28" i="36" l="1"/>
  <c r="E27" i="36"/>
  <c r="F26" i="36"/>
  <c r="G26" i="36" s="1"/>
  <c r="D29" i="36" l="1"/>
  <c r="E28" i="36"/>
  <c r="F27" i="36"/>
  <c r="G27" i="36" s="1"/>
  <c r="D30" i="36" l="1"/>
  <c r="E29" i="36"/>
  <c r="F28" i="36"/>
  <c r="G28" i="36" s="1"/>
  <c r="E30" i="36" l="1"/>
  <c r="D31" i="36"/>
  <c r="F29" i="36"/>
  <c r="G29" i="36" s="1"/>
  <c r="D32" i="36" l="1"/>
  <c r="E31" i="36"/>
  <c r="F30" i="36"/>
  <c r="G30" i="36" s="1"/>
  <c r="D33" i="36" l="1"/>
  <c r="E32" i="36"/>
  <c r="F31" i="36"/>
  <c r="G31" i="36" s="1"/>
  <c r="E33" i="36" l="1"/>
  <c r="D34" i="36"/>
  <c r="F32" i="36"/>
  <c r="G32" i="36" s="1"/>
  <c r="E34" i="36" l="1"/>
  <c r="D35" i="36"/>
  <c r="F33" i="36"/>
  <c r="G33" i="36" s="1"/>
  <c r="E35" i="36" l="1"/>
  <c r="D36" i="36"/>
  <c r="E36" i="36" s="1"/>
  <c r="F34" i="36"/>
  <c r="G34" i="36" s="1"/>
  <c r="E37" i="36" l="1"/>
  <c r="E38" i="36" s="1"/>
  <c r="F35" i="36"/>
  <c r="G35" i="36" s="1"/>
  <c r="F36" i="36" l="1"/>
  <c r="G36" i="36" s="1"/>
  <c r="G37" i="36" l="1"/>
  <c r="G38" i="36"/>
  <c r="G39" i="36" l="1"/>
  <c r="I29" i="17" l="1"/>
  <c r="I33" i="17"/>
  <c r="I32" i="17" l="1"/>
  <c r="I31" i="17" s="1"/>
  <c r="I38" i="17" l="1"/>
  <c r="I37" i="17"/>
  <c r="I41" i="17" s="1"/>
  <c r="I39" i="17" l="1"/>
  <c r="J28" i="17" s="1"/>
  <c r="J30" i="17" s="1"/>
  <c r="I36" i="17"/>
  <c r="J34" i="17" s="1"/>
  <c r="J35" i="17" l="1"/>
  <c r="J38" i="17" s="1"/>
  <c r="J39" i="17" s="1"/>
  <c r="J29" i="17"/>
  <c r="D52" i="25" s="1"/>
  <c r="D53" i="25" s="1"/>
  <c r="D55" i="25" s="1"/>
  <c r="I40" i="17"/>
  <c r="I46" i="17" s="1"/>
  <c r="G27" i="25" l="1"/>
  <c r="G28" i="25" s="1"/>
  <c r="J37" i="17"/>
  <c r="I50" i="17" l="1"/>
  <c r="I61" i="17" s="1"/>
  <c r="J33" i="17"/>
  <c r="J41" i="17" s="1"/>
  <c r="J32" i="17"/>
  <c r="J31" i="17" s="1"/>
  <c r="I56" i="17" l="1"/>
  <c r="I57" i="17" s="1"/>
  <c r="I85" i="17"/>
  <c r="I51" i="17"/>
  <c r="I69" i="17"/>
  <c r="I55" i="17"/>
  <c r="G29" i="25"/>
  <c r="G35" i="25" s="1"/>
  <c r="I62" i="17"/>
  <c r="K29" i="17"/>
  <c r="K28" i="17"/>
  <c r="K30" i="17" s="1"/>
  <c r="J36" i="17"/>
  <c r="K34" i="17" s="1"/>
  <c r="J40" i="17"/>
  <c r="K35" i="17" l="1"/>
  <c r="H27" i="25"/>
  <c r="H28" i="25" s="1"/>
  <c r="J46" i="17"/>
  <c r="I58" i="17"/>
  <c r="I59" i="17" s="1"/>
  <c r="I66" i="17"/>
  <c r="G30" i="25"/>
  <c r="J48" i="17"/>
  <c r="J67" i="17" l="1"/>
  <c r="J49" i="17"/>
  <c r="J52" i="17" l="1"/>
  <c r="J50" i="17"/>
  <c r="J61" i="17" l="1"/>
  <c r="K38" i="17"/>
  <c r="K37" i="17"/>
  <c r="K33" i="17"/>
  <c r="K32" i="17"/>
  <c r="K31" i="17" s="1"/>
  <c r="J55" i="17"/>
  <c r="J51" i="17"/>
  <c r="J56" i="17"/>
  <c r="J57" i="17" s="1"/>
  <c r="H29" i="25"/>
  <c r="J69" i="17"/>
  <c r="J85" i="17"/>
  <c r="H35" i="25" l="1"/>
  <c r="K39" i="17"/>
  <c r="K36" i="17"/>
  <c r="L34" i="17" s="1"/>
  <c r="K41" i="17"/>
  <c r="J58" i="17"/>
  <c r="G6" i="16" l="1"/>
  <c r="C35" i="25"/>
  <c r="K40" i="17"/>
  <c r="L29" i="17"/>
  <c r="I27" i="25"/>
  <c r="I28" i="25" s="1"/>
  <c r="L28" i="17"/>
  <c r="L30" i="17" s="1"/>
  <c r="J59" i="17"/>
  <c r="L35" i="17" l="1"/>
  <c r="L37" i="17" s="1"/>
  <c r="K46" i="17"/>
  <c r="L33" i="17"/>
  <c r="J62" i="17"/>
  <c r="J66" i="17" l="1"/>
  <c r="K48" i="17"/>
  <c r="K49" i="17" s="1"/>
  <c r="L32" i="17"/>
  <c r="L31" i="17" s="1"/>
  <c r="L41" i="17"/>
  <c r="L38" i="17"/>
  <c r="L39" i="17" s="1"/>
  <c r="H30" i="25"/>
  <c r="M29" i="17" l="1"/>
  <c r="K67" i="17"/>
  <c r="J27" i="25"/>
  <c r="J28" i="25" s="1"/>
  <c r="L40" i="17"/>
  <c r="L36" i="17"/>
  <c r="M34" i="17" s="1"/>
  <c r="M28" i="17"/>
  <c r="M30" i="17" s="1"/>
  <c r="K52" i="17"/>
  <c r="K50" i="17"/>
  <c r="M35" i="17" l="1"/>
  <c r="L46" i="17"/>
  <c r="K61" i="17"/>
  <c r="K55" i="17"/>
  <c r="K85" i="17"/>
  <c r="K51" i="17"/>
  <c r="I29" i="25"/>
  <c r="I35" i="25" s="1"/>
  <c r="K69" i="17"/>
  <c r="K56" i="17"/>
  <c r="K57" i="17" s="1"/>
  <c r="K58" i="17" l="1"/>
  <c r="K62" i="17" l="1"/>
  <c r="M32" i="17"/>
  <c r="M31" i="17" s="1"/>
  <c r="M33" i="17"/>
  <c r="M37" i="17"/>
  <c r="M38" i="17"/>
  <c r="K59" i="17"/>
  <c r="K66" i="17" l="1"/>
  <c r="L48" i="17"/>
  <c r="I30" i="25"/>
  <c r="M39" i="17"/>
  <c r="M40" i="17" s="1"/>
  <c r="M36" i="17"/>
  <c r="N34" i="17" s="1"/>
  <c r="M41" i="17"/>
  <c r="M46" i="17" l="1"/>
  <c r="L67" i="17"/>
  <c r="L49" i="17"/>
  <c r="N28" i="17"/>
  <c r="N30" i="17" s="1"/>
  <c r="N29" i="17"/>
  <c r="K27" i="25"/>
  <c r="K28" i="25" s="1"/>
  <c r="N35" i="17" l="1"/>
  <c r="L52" i="17"/>
  <c r="L50" i="17"/>
  <c r="L61" i="17" l="1"/>
  <c r="L69" i="17"/>
  <c r="L56" i="17"/>
  <c r="L57" i="17" s="1"/>
  <c r="L55" i="17"/>
  <c r="J29" i="25"/>
  <c r="J35" i="25" s="1"/>
  <c r="L85" i="17"/>
  <c r="L51" i="17"/>
  <c r="L58" i="17" l="1"/>
  <c r="N32" i="17"/>
  <c r="N31" i="17" s="1"/>
  <c r="N33" i="17"/>
  <c r="N38" i="17"/>
  <c r="N37" i="17"/>
  <c r="L59" i="17" l="1"/>
  <c r="L62" i="17"/>
  <c r="N39" i="17"/>
  <c r="O28" i="17" s="1"/>
  <c r="O30" i="17" s="1"/>
  <c r="N36" i="17"/>
  <c r="O34" i="17" s="1"/>
  <c r="N41" i="17"/>
  <c r="O35" i="17" l="1"/>
  <c r="L27" i="25"/>
  <c r="L28" i="25" s="1"/>
  <c r="L66" i="17"/>
  <c r="O29" i="17"/>
  <c r="N40" i="17"/>
  <c r="M48" i="17"/>
  <c r="J30" i="25"/>
  <c r="N46" i="17" l="1"/>
  <c r="M67" i="17"/>
  <c r="M49" i="17"/>
  <c r="M52" i="17" l="1"/>
  <c r="M50" i="17"/>
  <c r="O33" i="17"/>
  <c r="O37" i="17"/>
  <c r="O38" i="17"/>
  <c r="O39" i="17" s="1"/>
  <c r="M61" i="17" l="1"/>
  <c r="M51" i="17"/>
  <c r="M56" i="17"/>
  <c r="M57" i="17" s="1"/>
  <c r="K29" i="25"/>
  <c r="K35" i="25" s="1"/>
  <c r="M55" i="17"/>
  <c r="M69" i="17"/>
  <c r="M85" i="17"/>
  <c r="O36" i="17"/>
  <c r="M27" i="25"/>
  <c r="M28" i="25" s="1"/>
  <c r="C37" i="25" s="1"/>
  <c r="O41" i="17"/>
  <c r="O32" i="17"/>
  <c r="N30" i="25"/>
  <c r="O40" i="17" l="1"/>
  <c r="P40" i="17" s="1"/>
  <c r="O31" i="17"/>
  <c r="M58" i="17"/>
  <c r="O46" i="17" l="1"/>
  <c r="M62" i="17"/>
  <c r="M59" i="17"/>
  <c r="D46" i="17" l="1"/>
  <c r="AA8" i="25" s="1"/>
  <c r="G10" i="16" s="1"/>
  <c r="M66" i="17"/>
  <c r="K30" i="25"/>
  <c r="N48" i="17"/>
  <c r="D7" i="38" l="1"/>
  <c r="N67" i="17"/>
  <c r="N49" i="17"/>
  <c r="N52" i="17" l="1"/>
  <c r="N50" i="17"/>
  <c r="N61" i="17" l="1"/>
  <c r="N51" i="17"/>
  <c r="N56" i="17"/>
  <c r="N57" i="17" s="1"/>
  <c r="N69" i="17"/>
  <c r="L29" i="25"/>
  <c r="L35" i="25" s="1"/>
  <c r="N85" i="17"/>
  <c r="N55" i="17"/>
  <c r="N58" i="17" l="1"/>
  <c r="N62" i="17" l="1"/>
  <c r="N59" i="17"/>
  <c r="N66" i="17" l="1"/>
  <c r="O48" i="17"/>
  <c r="L30" i="25"/>
  <c r="O67" i="17" l="1"/>
  <c r="O49" i="17"/>
  <c r="O52" i="17" l="1"/>
  <c r="O50" i="17"/>
  <c r="O61" i="17" l="1"/>
  <c r="O51" i="17"/>
  <c r="M29" i="25"/>
  <c r="M35" i="25" s="1"/>
  <c r="O85" i="17"/>
  <c r="O69" i="17"/>
  <c r="O56" i="17"/>
  <c r="O57" i="17" s="1"/>
  <c r="O55" i="17"/>
  <c r="G70" i="17"/>
  <c r="E31" i="25" l="1"/>
  <c r="O58" i="17"/>
  <c r="G71" i="17"/>
  <c r="G74" i="17"/>
  <c r="G77" i="17" s="1"/>
  <c r="H68" i="17" l="1"/>
  <c r="H70" i="17" s="1"/>
  <c r="O59" i="17"/>
  <c r="G78" i="17"/>
  <c r="O62" i="17"/>
  <c r="P58" i="17"/>
  <c r="H72" i="17" l="1"/>
  <c r="H74" i="17"/>
  <c r="H77" i="17" s="1"/>
  <c r="H79" i="17" s="1"/>
  <c r="H84" i="17" s="1"/>
  <c r="H71" i="17"/>
  <c r="F31" i="25"/>
  <c r="O66" i="17"/>
  <c r="G87" i="17"/>
  <c r="D33" i="25"/>
  <c r="G79" i="17"/>
  <c r="G84" i="17" s="1"/>
  <c r="P62" i="17"/>
  <c r="M30" i="25"/>
  <c r="H78" i="17" l="1"/>
  <c r="H87" i="17" s="1"/>
  <c r="G88" i="17"/>
  <c r="I68" i="17"/>
  <c r="I72" i="17" s="1"/>
  <c r="G80" i="17"/>
  <c r="G81" i="17"/>
  <c r="E32" i="25"/>
  <c r="E34" i="25" s="1"/>
  <c r="F32" i="25"/>
  <c r="F34" i="25" s="1"/>
  <c r="E33" i="25" l="1"/>
  <c r="H80" i="17"/>
  <c r="H81" i="17"/>
  <c r="I70" i="17"/>
  <c r="AD10" i="25"/>
  <c r="AD11" i="25"/>
  <c r="H88" i="17"/>
  <c r="G31" i="25" l="1"/>
  <c r="I71" i="17"/>
  <c r="J68" i="17" s="1"/>
  <c r="I74" i="17"/>
  <c r="I77" i="17" s="1"/>
  <c r="I79" i="17" s="1"/>
  <c r="I84" i="17" s="1"/>
  <c r="AC10" i="25"/>
  <c r="AC11" i="25"/>
  <c r="G32" i="25" l="1"/>
  <c r="G34" i="25" s="1"/>
  <c r="I78" i="17"/>
  <c r="G33" i="25" s="1"/>
  <c r="J70" i="17"/>
  <c r="J72" i="17"/>
  <c r="AD12" i="25"/>
  <c r="I81" i="17" l="1"/>
  <c r="I80" i="17"/>
  <c r="F33" i="25"/>
  <c r="I87" i="17"/>
  <c r="I88" i="17" s="1"/>
  <c r="J71" i="17"/>
  <c r="K68" i="17" s="1"/>
  <c r="K72" i="17" s="1"/>
  <c r="J74" i="17"/>
  <c r="J77" i="17" s="1"/>
  <c r="H31" i="25"/>
  <c r="AC12" i="25"/>
  <c r="J79" i="17" l="1"/>
  <c r="J78" i="17"/>
  <c r="H33" i="25" l="1"/>
  <c r="J87" i="17"/>
  <c r="J80" i="17"/>
  <c r="J84" i="17"/>
  <c r="J81" i="17"/>
  <c r="H32" i="25"/>
  <c r="H34" i="25" s="1"/>
  <c r="C36" i="25" s="1"/>
  <c r="J88" i="17" l="1"/>
  <c r="AD13" i="25"/>
  <c r="D84" i="17"/>
  <c r="G13" i="16" l="1"/>
  <c r="G12" i="16"/>
  <c r="AC13" i="25"/>
  <c r="N20" i="16"/>
  <c r="AA10" i="25"/>
  <c r="C20" i="16"/>
  <c r="K70" i="17"/>
  <c r="G5" i="16" l="1"/>
  <c r="AA7" i="3"/>
  <c r="AA24" i="3"/>
  <c r="D8" i="38"/>
  <c r="AA15" i="3"/>
  <c r="K71" i="17"/>
  <c r="L68" i="17" s="1"/>
  <c r="L70" i="17" s="1"/>
  <c r="K74" i="17"/>
  <c r="I31" i="25"/>
  <c r="K77" i="17" l="1"/>
  <c r="L72" i="17"/>
  <c r="J31" i="25"/>
  <c r="L74" i="17"/>
  <c r="L77" i="17" s="1"/>
  <c r="L71" i="17"/>
  <c r="M68" i="17" s="1"/>
  <c r="K79" i="17" l="1"/>
  <c r="K78" i="17"/>
  <c r="M70" i="17"/>
  <c r="M72" i="17"/>
  <c r="K80" i="17" l="1"/>
  <c r="K81" i="17"/>
  <c r="K87" i="17"/>
  <c r="K31" i="25"/>
  <c r="M74" i="17"/>
  <c r="M77" i="17" s="1"/>
  <c r="M71" i="17"/>
  <c r="N68" i="17" s="1"/>
  <c r="L79" i="17"/>
  <c r="L78" i="17"/>
  <c r="K84" i="17"/>
  <c r="I32" i="25"/>
  <c r="I34" i="25" s="1"/>
  <c r="L81" i="17" l="1"/>
  <c r="L80" i="17"/>
  <c r="M79" i="17"/>
  <c r="M78" i="17"/>
  <c r="AD14" i="25"/>
  <c r="K88" i="17"/>
  <c r="L87" i="17"/>
  <c r="I33" i="25"/>
  <c r="I36" i="25" s="1"/>
  <c r="J32" i="25"/>
  <c r="J34" i="25" s="1"/>
  <c r="L84" i="17"/>
  <c r="N70" i="17"/>
  <c r="N72" i="17"/>
  <c r="M80" i="17" l="1"/>
  <c r="M81" i="17"/>
  <c r="J33" i="25"/>
  <c r="J36" i="25" s="1"/>
  <c r="N71" i="17"/>
  <c r="O68" i="17" s="1"/>
  <c r="O72" i="17" s="1"/>
  <c r="AD15" i="25"/>
  <c r="AC15" i="25" s="1"/>
  <c r="L88" i="17"/>
  <c r="M87" i="17"/>
  <c r="AC14" i="25"/>
  <c r="L31" i="25"/>
  <c r="N74" i="17"/>
  <c r="N77" i="17" s="1"/>
  <c r="K32" i="25"/>
  <c r="K34" i="25" s="1"/>
  <c r="M84" i="17"/>
  <c r="O70" i="17" l="1"/>
  <c r="M31" i="25" s="1"/>
  <c r="N79" i="17"/>
  <c r="N78" i="17"/>
  <c r="K33" i="25" s="1"/>
  <c r="K36" i="25" s="1"/>
  <c r="M88" i="17"/>
  <c r="AD16" i="25"/>
  <c r="N80" i="17" l="1"/>
  <c r="N81" i="17"/>
  <c r="O74" i="17"/>
  <c r="O77" i="17" s="1"/>
  <c r="O78" i="17" s="1"/>
  <c r="O71" i="17"/>
  <c r="N87" i="17"/>
  <c r="L32" i="25"/>
  <c r="L34" i="25" s="1"/>
  <c r="N84" i="17"/>
  <c r="AC16" i="25"/>
  <c r="P74" i="17" l="1"/>
  <c r="M33" i="25" s="1"/>
  <c r="O79" i="17"/>
  <c r="O81" i="17" s="1"/>
  <c r="N88" i="17"/>
  <c r="AD17" i="25"/>
  <c r="O87" i="17"/>
  <c r="P87" i="17" s="1"/>
  <c r="L33" i="25"/>
  <c r="L36" i="25" s="1"/>
  <c r="O84" i="17" l="1"/>
  <c r="P23" i="17" s="1"/>
  <c r="M32" i="25"/>
  <c r="M34" i="25" s="1"/>
  <c r="M36" i="25" s="1"/>
  <c r="O80" i="17"/>
  <c r="AC17" i="25"/>
  <c r="AD18" i="25" l="1"/>
  <c r="O88" i="17"/>
  <c r="D12" i="38"/>
  <c r="AA13" i="25" l="1"/>
  <c r="D9" i="38" s="1"/>
  <c r="AA12" i="25" a="1"/>
  <c r="AA12" i="25" s="1"/>
  <c r="AD19" i="25"/>
  <c r="AC18" i="25"/>
  <c r="AC19" i="25" s="1"/>
  <c r="G8"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tc={04CA1B14-75E8-485B-955A-D836F01A830C}</author>
  </authors>
  <commentList>
    <comment ref="BE42" authorId="0" shapeId="0" xr:uid="{04CA1B14-75E8-485B-955A-D836F01A830C}">
      <text>
        <t>[Threaded comment]
Your version of Excel allows you to read this threaded comment; however, any edits to it will get removed if the file is opened in a newer version of Excel. Learn more: https://go.microsoft.com/fwlink/?linkid=870924
Comment:
    Based on Amortizing Debt service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<sst xmlns="http://schemas.openxmlformats.org/spreadsheetml/2006/main" count="1803" uniqueCount="859">
  <si>
    <t>Lease rate Error %</t>
  </si>
  <si>
    <t>Property Information</t>
  </si>
  <si>
    <t>Unit Mix</t>
  </si>
  <si>
    <t>Assumptions</t>
  </si>
  <si>
    <t>Key</t>
  </si>
  <si>
    <t>Sensitivity analysis</t>
  </si>
  <si>
    <t>Property Name</t>
  </si>
  <si>
    <t>Madison Overland Park</t>
  </si>
  <si>
    <t>Total Units</t>
  </si>
  <si>
    <t>Type</t>
  </si>
  <si>
    <t xml:space="preserve"># of Units </t>
  </si>
  <si>
    <t>T12</t>
  </si>
  <si>
    <t>Pro Forma</t>
  </si>
  <si>
    <t>Sq Ft</t>
  </si>
  <si>
    <t>T12 Rent/SF</t>
  </si>
  <si>
    <t>PF Rent/SF</t>
  </si>
  <si>
    <t>Acquisition Assumptions</t>
  </si>
  <si>
    <t>Manual Assumption Input</t>
  </si>
  <si>
    <t xml:space="preserve">Strategy </t>
  </si>
  <si>
    <t>Condo Style B+ Light Value Add</t>
  </si>
  <si>
    <t>Current LTL</t>
  </si>
  <si>
    <t>2x2 flat</t>
  </si>
  <si>
    <t>Acquisition Fee</t>
  </si>
  <si>
    <t>Deal Specific Hard code</t>
  </si>
  <si>
    <t>Land Price</t>
  </si>
  <si>
    <t>Current Vacancy</t>
  </si>
  <si>
    <t>2x2 flat R</t>
  </si>
  <si>
    <t>Transfer Tax</t>
  </si>
  <si>
    <t>Unused for this Deal</t>
  </si>
  <si>
    <t xml:space="preserve">LP IRR Cap Rate: Hold Period </t>
  </si>
  <si>
    <t>Pricing Guidance</t>
  </si>
  <si>
    <t>2x2 th</t>
  </si>
  <si>
    <t>Closing Costs</t>
  </si>
  <si>
    <t>Price per Unit</t>
  </si>
  <si>
    <t>2x2 th R</t>
  </si>
  <si>
    <t>Working Capital</t>
  </si>
  <si>
    <t>Total SF</t>
  </si>
  <si>
    <t>3x2 flat</t>
  </si>
  <si>
    <t>Interest Reserve</t>
  </si>
  <si>
    <t>Price per SF</t>
  </si>
  <si>
    <t>3x2 flat R</t>
  </si>
  <si>
    <t>Fannie Loan Assumption</t>
  </si>
  <si>
    <t>Year Built</t>
  </si>
  <si>
    <t>3x2.5 th</t>
  </si>
  <si>
    <t>Term (Months)</t>
  </si>
  <si>
    <t>Address</t>
  </si>
  <si>
    <t>13900 NEWTON STREET, OVERLAND PARK, KS</t>
  </si>
  <si>
    <t>3x2.5 th R</t>
  </si>
  <si>
    <t>Interest Rate</t>
  </si>
  <si>
    <t>W.Avg</t>
  </si>
  <si>
    <t>Amortization</t>
  </si>
  <si>
    <t>Avg Discounted</t>
  </si>
  <si>
    <t>IO Period (Years)</t>
  </si>
  <si>
    <t>LP IRR - Cap Rate: Hard Constructions Per Unit</t>
  </si>
  <si>
    <t>Operating Income</t>
  </si>
  <si>
    <t>Financing Fees</t>
  </si>
  <si>
    <t>Revenue</t>
  </si>
  <si>
    <t>Trailing 12</t>
  </si>
  <si>
    <t>%</t>
  </si>
  <si>
    <t>Stabilized</t>
  </si>
  <si>
    <t>Notes/Adjustments</t>
  </si>
  <si>
    <t>Loan to Cost</t>
  </si>
  <si>
    <t>Gross Potential Rent</t>
  </si>
  <si>
    <t>Refinance Assumptions</t>
  </si>
  <si>
    <t>RUBS</t>
  </si>
  <si>
    <t>Refinance?</t>
  </si>
  <si>
    <t>Yes</t>
  </si>
  <si>
    <t>Other Income</t>
  </si>
  <si>
    <t>Refinance Month</t>
  </si>
  <si>
    <t>Loss to Lease</t>
  </si>
  <si>
    <t>Refinance Cap</t>
  </si>
  <si>
    <t>Vacancy Loss</t>
  </si>
  <si>
    <t>LTV</t>
  </si>
  <si>
    <t>Concessions/Non-Rev</t>
  </si>
  <si>
    <t>LP IRR - Cap Rate: Discount GPR (Miss rate)</t>
  </si>
  <si>
    <t>Bad Debt</t>
  </si>
  <si>
    <t>W.Avg PSF</t>
  </si>
  <si>
    <t>EFFECTIVE GROSS INCOME</t>
  </si>
  <si>
    <t>IO Period</t>
  </si>
  <si>
    <t>Operating Expenses</t>
  </si>
  <si>
    <t>Preferred Equity</t>
  </si>
  <si>
    <t>July T12</t>
  </si>
  <si>
    <t>Per Unit</t>
  </si>
  <si>
    <t>LTV/LTC</t>
  </si>
  <si>
    <t>Payroll</t>
  </si>
  <si>
    <t>4 full time salaries + 30% payroll load</t>
  </si>
  <si>
    <t xml:space="preserve"> </t>
  </si>
  <si>
    <t>Contract Services</t>
  </si>
  <si>
    <t>T12 (see line items tab)</t>
  </si>
  <si>
    <t>Amount</t>
  </si>
  <si>
    <t>Repairs &amp; Maintenance</t>
  </si>
  <si>
    <t>Turnover</t>
  </si>
  <si>
    <t>Current Pay/Accrual</t>
  </si>
  <si>
    <t>Utilities</t>
  </si>
  <si>
    <t>T12 plus trash</t>
  </si>
  <si>
    <t xml:space="preserve">Accrual </t>
  </si>
  <si>
    <t>Administrative</t>
  </si>
  <si>
    <t>Marketing</t>
  </si>
  <si>
    <t>Financing Fee Back end</t>
  </si>
  <si>
    <t>Other</t>
  </si>
  <si>
    <t>Pref broker</t>
  </si>
  <si>
    <t>Insurance</t>
  </si>
  <si>
    <t>guidance at about 211k from Kyle Zeller</t>
  </si>
  <si>
    <t>Capex Assumptions</t>
  </si>
  <si>
    <t>Management Fee</t>
  </si>
  <si>
    <t>Development Period</t>
  </si>
  <si>
    <t>Property Taxes</t>
  </si>
  <si>
    <t>100% PP reassessment</t>
  </si>
  <si>
    <t>Interior Cost Per Door</t>
  </si>
  <si>
    <t>Replacement Reserves</t>
  </si>
  <si>
    <t>Capex Unit</t>
  </si>
  <si>
    <t>Franchise Taxes</t>
  </si>
  <si>
    <t xml:space="preserve">Exterior </t>
  </si>
  <si>
    <t>TOTAL</t>
  </si>
  <si>
    <t>Contingency</t>
  </si>
  <si>
    <t>% of EGI</t>
  </si>
  <si>
    <t>Developer fee</t>
  </si>
  <si>
    <t>NOI</t>
  </si>
  <si>
    <t>Stabilized Assumptions</t>
  </si>
  <si>
    <t xml:space="preserve">Stabilized YOC </t>
  </si>
  <si>
    <t>Asset Management Fee</t>
  </si>
  <si>
    <t xml:space="preserve">Year 3 stabilzed YOC </t>
  </si>
  <si>
    <t>Property Management Fee</t>
  </si>
  <si>
    <t>DSCR</t>
  </si>
  <si>
    <t>Annual Rent Increase</t>
  </si>
  <si>
    <t>Break Even</t>
  </si>
  <si>
    <t>Annual Expense Increase</t>
  </si>
  <si>
    <t>Reserves Per Unit</t>
  </si>
  <si>
    <t>Lease to Loss, Vacancy, Bad Debt Assumptions</t>
  </si>
  <si>
    <t>Granular</t>
  </si>
  <si>
    <t>No</t>
  </si>
  <si>
    <t>Loss to Lease Yr. 3-5 (stabilized)</t>
  </si>
  <si>
    <t>Loss to Lease Yr. 1</t>
  </si>
  <si>
    <t>Loss to Lease Yr. 2</t>
  </si>
  <si>
    <t>Vacancy Rate (Stabilized)</t>
  </si>
  <si>
    <t>Vacancy Rate Yr. 1</t>
  </si>
  <si>
    <t>Vacancy Rate Yr. 2</t>
  </si>
  <si>
    <t>Vacancy Rate Yr. 3</t>
  </si>
  <si>
    <t>Bad Debt (Stabilized)</t>
  </si>
  <si>
    <t>Bad Debt Yr. 1</t>
  </si>
  <si>
    <t>Bad Debt Yr. 2</t>
  </si>
  <si>
    <t>Exit Assumptions</t>
  </si>
  <si>
    <t>Forced Exit Month</t>
  </si>
  <si>
    <t>Exit Price Forced</t>
  </si>
  <si>
    <t>Terminal Cap Rate</t>
  </si>
  <si>
    <t>Commission/Title/Legal</t>
  </si>
  <si>
    <t>Disposition Fee</t>
  </si>
  <si>
    <t>Hold Time (Years)</t>
  </si>
  <si>
    <t xml:space="preserve">Inflation </t>
  </si>
  <si>
    <t>Year 1 Lease growth</t>
  </si>
  <si>
    <t>Year 2 Lease growth</t>
  </si>
  <si>
    <t>Year 3 Lease growth</t>
  </si>
  <si>
    <t>Year 4 Lease growth</t>
  </si>
  <si>
    <t>Year 1 Opex growth</t>
  </si>
  <si>
    <t>Year 2 Opex growth</t>
  </si>
  <si>
    <t>Year 3 Opex growth</t>
  </si>
  <si>
    <t>Year 4 Opex growth</t>
  </si>
  <si>
    <t>Market Value</t>
  </si>
  <si>
    <t>Assessed Factor</t>
  </si>
  <si>
    <t xml:space="preserve">Assessed Value </t>
  </si>
  <si>
    <t>Mill Levy</t>
  </si>
  <si>
    <t>Mill Tax</t>
  </si>
  <si>
    <t>Special Tax</t>
  </si>
  <si>
    <t>Total Tax</t>
  </si>
  <si>
    <t>Cash Flow Summary</t>
  </si>
  <si>
    <t>Property Summary</t>
  </si>
  <si>
    <t xml:space="preserve">Return Summary </t>
  </si>
  <si>
    <t>Stabilization Timeline</t>
  </si>
  <si>
    <t>Total Equity Check</t>
  </si>
  <si>
    <t>LP Investment Size</t>
  </si>
  <si>
    <t>yoy  ▲</t>
  </si>
  <si>
    <t>Total Potential Rent</t>
  </si>
  <si>
    <t>Purchase Price</t>
  </si>
  <si>
    <t>Hold Period</t>
  </si>
  <si>
    <t>Stabilized Yield on Cost</t>
  </si>
  <si>
    <t>Capex</t>
  </si>
  <si>
    <t>Unlevered IRR</t>
  </si>
  <si>
    <t>Percent</t>
  </si>
  <si>
    <t>Cash Flow</t>
  </si>
  <si>
    <t>Total Potential Income</t>
  </si>
  <si>
    <t>Per SQ FT</t>
  </si>
  <si>
    <t>Interior</t>
  </si>
  <si>
    <t>Project IRR</t>
  </si>
  <si>
    <t>Year 0</t>
  </si>
  <si>
    <t>Vacancy, Bad debt, LTL</t>
  </si>
  <si>
    <t>Acquisition Debt</t>
  </si>
  <si>
    <t>Interior Per Reno Door</t>
  </si>
  <si>
    <t>Net of Fees Returns</t>
  </si>
  <si>
    <t>Year 1</t>
  </si>
  <si>
    <t>Effective Gross Income</t>
  </si>
  <si>
    <t>Loan to total Cost</t>
  </si>
  <si>
    <t>LP IRR</t>
  </si>
  <si>
    <t>Year 2</t>
  </si>
  <si>
    <t>Opex</t>
  </si>
  <si>
    <t>Loan To Value</t>
  </si>
  <si>
    <t>Pre Unit Capex Costs</t>
  </si>
  <si>
    <t>Proforma CoC</t>
  </si>
  <si>
    <t>Year 3</t>
  </si>
  <si>
    <t>Property Mgmt</t>
  </si>
  <si>
    <t>PSF Capex Costs</t>
  </si>
  <si>
    <t>LP Annualized Return</t>
  </si>
  <si>
    <t>Year 4</t>
  </si>
  <si>
    <t>Interest Only Period</t>
  </si>
  <si>
    <t>All in PSF Cost</t>
  </si>
  <si>
    <t>LP Equity Multiple</t>
  </si>
  <si>
    <t>Year 5</t>
  </si>
  <si>
    <t xml:space="preserve">     Total Operating Ex.</t>
  </si>
  <si>
    <t># of Units</t>
  </si>
  <si>
    <t>Target Exit Price</t>
  </si>
  <si>
    <t>Year 6</t>
  </si>
  <si>
    <t># of Units Renovated</t>
  </si>
  <si>
    <t>Year 7</t>
  </si>
  <si>
    <t>Asset Mgmt Fees</t>
  </si>
  <si>
    <t>Net Rentable SQ FT</t>
  </si>
  <si>
    <t>Year 8</t>
  </si>
  <si>
    <t>Debt Service</t>
  </si>
  <si>
    <t>Key Assumptions</t>
  </si>
  <si>
    <t>Year 9</t>
  </si>
  <si>
    <t>Annual Rent Growth</t>
  </si>
  <si>
    <t>Year 10</t>
  </si>
  <si>
    <t>Before Tax Cash Flow</t>
  </si>
  <si>
    <t>Opex Annual Growth</t>
  </si>
  <si>
    <t>Net Refi Proceeds</t>
  </si>
  <si>
    <t>Stabilized Vacancy Rate</t>
  </si>
  <si>
    <t>Net Sale Proceeds</t>
  </si>
  <si>
    <t>Exit Cap Rate</t>
  </si>
  <si>
    <t>Total Cash Flow &amp; Sale</t>
  </si>
  <si>
    <t>Waterfall Summary</t>
  </si>
  <si>
    <t>Sources &amp; Uses</t>
  </si>
  <si>
    <t>Sources</t>
  </si>
  <si>
    <t>Uses</t>
  </si>
  <si>
    <t xml:space="preserve">Preferred Equity </t>
  </si>
  <si>
    <t>Senior Debt</t>
  </si>
  <si>
    <t>Land Purchase</t>
  </si>
  <si>
    <t>Total CF</t>
  </si>
  <si>
    <t>Tier 1 Distributions LP</t>
  </si>
  <si>
    <t>Equity</t>
  </si>
  <si>
    <t>Return on Capital</t>
  </si>
  <si>
    <t>CM Fee</t>
  </si>
  <si>
    <t>Tier 2 Distributions LP</t>
  </si>
  <si>
    <t>Tier 3 Distributions LP</t>
  </si>
  <si>
    <t>Interest Reserves</t>
  </si>
  <si>
    <t xml:space="preserve">GP Promote </t>
  </si>
  <si>
    <t xml:space="preserve">Financing costs </t>
  </si>
  <si>
    <t>LP Cash flows</t>
  </si>
  <si>
    <t>LP Dividend COC</t>
  </si>
  <si>
    <t>Equity Fee</t>
  </si>
  <si>
    <t>Upfront Pref Eq fee</t>
  </si>
  <si>
    <t>Pref Broker</t>
  </si>
  <si>
    <t>Marketing Fee</t>
  </si>
  <si>
    <t xml:space="preserve">Refinance Breakeven </t>
  </si>
  <si>
    <t>Notes</t>
  </si>
  <si>
    <t>Year 3 ending NOI assuming no rent Growth</t>
  </si>
  <si>
    <t>PMT</t>
  </si>
  <si>
    <t>Capped Debt Service payment based on 1.25 DSCR and Year 3 NOI</t>
  </si>
  <si>
    <t>NOI Principal</t>
  </si>
  <si>
    <t xml:space="preserve">PV of PMT </t>
  </si>
  <si>
    <t>Senior Principal</t>
  </si>
  <si>
    <t>Senior Pay off</t>
  </si>
  <si>
    <t>Pref</t>
  </si>
  <si>
    <t>Preff Pay off</t>
  </si>
  <si>
    <t>Financing Fee</t>
  </si>
  <si>
    <t>Proceeds Needed</t>
  </si>
  <si>
    <t>Needed Proceeds for full pay off</t>
  </si>
  <si>
    <t>Debt Service assuming 1.25 DSCR on proceeds needed</t>
  </si>
  <si>
    <t>DSCR Cap</t>
  </si>
  <si>
    <t>NOI Needed</t>
  </si>
  <si>
    <t>NOI Needed for DSCR Cap</t>
  </si>
  <si>
    <t>NOI Test</t>
  </si>
  <si>
    <t>Var to Noi</t>
  </si>
  <si>
    <t>Payment Test</t>
  </si>
  <si>
    <t>Var to Proceeds needed</t>
  </si>
  <si>
    <t>Reserves used for Int</t>
  </si>
  <si>
    <t>Interest reserves used for Current</t>
  </si>
  <si>
    <t>Interest reserves used from Principal Short fall and interest reserves</t>
  </si>
  <si>
    <t>Excess proceeds</t>
  </si>
  <si>
    <t>Snap-Shot</t>
  </si>
  <si>
    <t xml:space="preserve">Tentative Timeline </t>
  </si>
  <si>
    <t>Total</t>
  </si>
  <si>
    <t xml:space="preserve">Per Unit </t>
  </si>
  <si>
    <t>Per SQ</t>
  </si>
  <si>
    <t xml:space="preserve">Equity Check </t>
  </si>
  <si>
    <t xml:space="preserve">Total Costs </t>
  </si>
  <si>
    <t>Madison OP Under PSA</t>
  </si>
  <si>
    <t xml:space="preserve">YOC </t>
  </si>
  <si>
    <t>Land Cost</t>
  </si>
  <si>
    <t xml:space="preserve">DD expires hard money due </t>
  </si>
  <si>
    <t>Construction Costs</t>
  </si>
  <si>
    <t>Capital Commitment Due</t>
  </si>
  <si>
    <t xml:space="preserve">Close on the property </t>
  </si>
  <si>
    <t>EM</t>
  </si>
  <si>
    <t>**Fannie loan assumptions will push this out 30-90 days</t>
  </si>
  <si>
    <t xml:space="preserve">Exit Cap </t>
  </si>
  <si>
    <t>Inflation</t>
  </si>
  <si>
    <t>Total GP Comp</t>
  </si>
  <si>
    <t xml:space="preserve">Debt </t>
  </si>
  <si>
    <t>Guidance from Developer have not seen Term sheet yet</t>
  </si>
  <si>
    <t xml:space="preserve">Interest Rate </t>
  </si>
  <si>
    <t>T-12</t>
  </si>
  <si>
    <t>Month</t>
  </si>
  <si>
    <t>INCOME</t>
  </si>
  <si>
    <t>Income YoY Increase</t>
  </si>
  <si>
    <t>OPERATING EXPENSES</t>
  </si>
  <si>
    <t>TOTAL OPERATING EXPENSES</t>
  </si>
  <si>
    <t>Opex YoY Increase</t>
  </si>
  <si>
    <t>NET OPERATING INCOME</t>
  </si>
  <si>
    <t>YoY Increase</t>
  </si>
  <si>
    <t>FINANCING &amp; CASH FLOW</t>
  </si>
  <si>
    <t>Capital Expenditures</t>
  </si>
  <si>
    <t>Acquisition Loan</t>
  </si>
  <si>
    <t>Interest</t>
  </si>
  <si>
    <t>Principal</t>
  </si>
  <si>
    <t>Loan Balance</t>
  </si>
  <si>
    <t>Refinance Loan</t>
  </si>
  <si>
    <t xml:space="preserve">Interest </t>
  </si>
  <si>
    <t>Refinance Fee</t>
  </si>
  <si>
    <t>Net Proceeds</t>
  </si>
  <si>
    <t>Sale Proceeds</t>
  </si>
  <si>
    <t>Transaction Fees</t>
  </si>
  <si>
    <t>FREE CASH FLOW</t>
  </si>
  <si>
    <t>Total DSCR</t>
  </si>
  <si>
    <t>Total ICR</t>
  </si>
  <si>
    <t>INVESTMENT METRICS</t>
  </si>
  <si>
    <t>Terminal Property Value</t>
  </si>
  <si>
    <t>Capital Invested</t>
  </si>
  <si>
    <t>∞</t>
  </si>
  <si>
    <t>Promote Structure</t>
  </si>
  <si>
    <t>Hurdle Rate</t>
  </si>
  <si>
    <t>Promote</t>
  </si>
  <si>
    <t>Preferred Return</t>
  </si>
  <si>
    <t>GP Catch up</t>
  </si>
  <si>
    <t>Tier 1</t>
  </si>
  <si>
    <t>Tier 2</t>
  </si>
  <si>
    <t>Unlevered Cash Flow</t>
  </si>
  <si>
    <t>Cash Flow From Operations</t>
  </si>
  <si>
    <t>Total Cash Flow</t>
  </si>
  <si>
    <t>Levered Cash Flow</t>
  </si>
  <si>
    <t>Net Refinance Proceeds</t>
  </si>
  <si>
    <t>Check</t>
  </si>
  <si>
    <t>Capital Account</t>
  </si>
  <si>
    <t>BOP</t>
  </si>
  <si>
    <t>Current Pay</t>
  </si>
  <si>
    <t>EOP</t>
  </si>
  <si>
    <t>Cash Flow From Distributions</t>
  </si>
  <si>
    <t>Accrual Distribution</t>
  </si>
  <si>
    <t xml:space="preserve">Total Pref </t>
  </si>
  <si>
    <t>Tier 1 (Return of Capital + Preferred Return)</t>
  </si>
  <si>
    <t>LP</t>
  </si>
  <si>
    <t xml:space="preserve">Funds remaining </t>
  </si>
  <si>
    <t>Perferred Return</t>
  </si>
  <si>
    <t>Pref BOP</t>
  </si>
  <si>
    <t>Cash Flow For Distribution</t>
  </si>
  <si>
    <t>Pref EOP</t>
  </si>
  <si>
    <t>GP - Catch up</t>
  </si>
  <si>
    <t>Funds Left Over</t>
  </si>
  <si>
    <t>GP Catch up BOP</t>
  </si>
  <si>
    <t>GP Catch up Distributed</t>
  </si>
  <si>
    <t>GP EOP</t>
  </si>
  <si>
    <t xml:space="preserve">Return on Capital </t>
  </si>
  <si>
    <t xml:space="preserve">Tier 1  </t>
  </si>
  <si>
    <t>Tier 1  Distributions</t>
  </si>
  <si>
    <t>Tier 2 Distributions</t>
  </si>
  <si>
    <t>GP</t>
  </si>
  <si>
    <t>GP Tier 1 Distributed</t>
  </si>
  <si>
    <t>Return Summary</t>
  </si>
  <si>
    <t>LP Cash on Cash</t>
  </si>
  <si>
    <t>Sponsor &amp; AM fees</t>
  </si>
  <si>
    <t>Total Promote</t>
  </si>
  <si>
    <t>Total Cash Flows</t>
  </si>
  <si>
    <t>Base Case</t>
  </si>
  <si>
    <t>Acquisition Metrics</t>
  </si>
  <si>
    <t>Major Assumptions</t>
  </si>
  <si>
    <t>CapEx Budget</t>
  </si>
  <si>
    <t>LP Avg Cash on Cash</t>
  </si>
  <si>
    <t>Annual Expense Growth</t>
  </si>
  <si>
    <t>Stabilization Time</t>
  </si>
  <si>
    <t>LTC</t>
  </si>
  <si>
    <t>Adj T12 DSCR</t>
  </si>
  <si>
    <t>Occupancy Stress</t>
  </si>
  <si>
    <t>Month 1 ICR</t>
  </si>
  <si>
    <t>Min DSCR</t>
  </si>
  <si>
    <t>Breakeven</t>
  </si>
  <si>
    <t>Month 1 DSCR</t>
  </si>
  <si>
    <t>IRR Partition</t>
  </si>
  <si>
    <t>Refinance Cap Rate</t>
  </si>
  <si>
    <t>Month 1</t>
  </si>
  <si>
    <t>Year 1 ICR</t>
  </si>
  <si>
    <t>% of IRR from Cash Flow</t>
  </si>
  <si>
    <t>Year 1 DSCR</t>
  </si>
  <si>
    <t>% of IRR from Sale</t>
  </si>
  <si>
    <t>IRR Sensitivity: Terminal Cap Rate Vs Annual Rent Growth</t>
  </si>
  <si>
    <t>IRR Sensitivity: Terminal Cap Rate Vs Hold Period</t>
  </si>
  <si>
    <t>Hold Period (Years)</t>
  </si>
  <si>
    <t>Sensitivity Intervals &amp; Other Inputs</t>
  </si>
  <si>
    <t>Stabilization Timeline (Months)</t>
  </si>
  <si>
    <t>Rehab Period Vacancy Rate</t>
  </si>
  <si>
    <t>Vacancy Rate</t>
  </si>
  <si>
    <t>N/A</t>
  </si>
  <si>
    <t xml:space="preserve">Year 2 </t>
  </si>
  <si>
    <t>Loss to Lease %</t>
  </si>
  <si>
    <t>Vacancy Loss %</t>
  </si>
  <si>
    <t>Bad Debt %</t>
  </si>
  <si>
    <t>Inflation %</t>
  </si>
  <si>
    <t>Madison Overland Park – Capital Expenditures Budget</t>
  </si>
  <si>
    <t>Quantity</t>
  </si>
  <si>
    <t>Category</t>
  </si>
  <si>
    <t>Cost Per</t>
  </si>
  <si>
    <t>Description of Work to be Completed</t>
  </si>
  <si>
    <t>Budget</t>
  </si>
  <si>
    <t>Full Reno on Classic Units</t>
  </si>
  <si>
    <t>Units</t>
  </si>
  <si>
    <t>Full Reno - quartz, paint cabinets + hardware, backsplash, LVP, paint, fixtures, add ceiling fans.  Scrape 1st floor popcorn ceilings and add living room crown molding.</t>
  </si>
  <si>
    <t>TOTAL INTERIOR COSTS</t>
  </si>
  <si>
    <t>Exterior</t>
  </si>
  <si>
    <t>Exterior Paint</t>
  </si>
  <si>
    <t>Buildings</t>
  </si>
  <si>
    <t>Paint all building exteriors.</t>
  </si>
  <si>
    <t>Exterior Landscaping</t>
  </si>
  <si>
    <t>Landscaping and grounds overhaul.</t>
  </si>
  <si>
    <t>Mechanicals Replacement Fund</t>
  </si>
  <si>
    <t>Boost reserves for mechanicals replacements that haven't been done already.  Used as needed.</t>
  </si>
  <si>
    <t>Roof Replacement Fund</t>
  </si>
  <si>
    <t>Boost reserves for roofs. No immediate replacements necessary.</t>
  </si>
  <si>
    <t>Monument Signs/Signage</t>
  </si>
  <si>
    <t>Signs</t>
  </si>
  <si>
    <t>Install new monument signs.</t>
  </si>
  <si>
    <t>Leasing Office/Clubhouse Upgrades</t>
  </si>
  <si>
    <t>Clubhouse</t>
  </si>
  <si>
    <t>Rework current leasing office floorplan to enhance business center utilization.  Add security cameras.</t>
  </si>
  <si>
    <t>Pool Furniture</t>
  </si>
  <si>
    <t>Pool</t>
  </si>
  <si>
    <t>New pool furniture.</t>
  </si>
  <si>
    <t>Add Community Gate</t>
  </si>
  <si>
    <t>Gate</t>
  </si>
  <si>
    <t>Gated community feature at main entrance.</t>
  </si>
  <si>
    <t>Amenity Addition</t>
  </si>
  <si>
    <t>Add resort-like outdoor amenity near pool on parking surface.</t>
  </si>
  <si>
    <t>TOTAL EXTERIOR COSTS</t>
  </si>
  <si>
    <t>Sub-Total of Renovation Costs</t>
  </si>
  <si>
    <t>Construction Management Fee</t>
  </si>
  <si>
    <t>TOTAL PROJECT COSTS</t>
  </si>
  <si>
    <t>ROI on renovations</t>
  </si>
  <si>
    <t>avg. / unit</t>
  </si>
  <si>
    <t>Full Reno - quartz, paint cabinets + hardware, stainless aplliance package, backsplash, LVP, paint, fixtures, add ceiling fans.</t>
  </si>
  <si>
    <t>Irrigation System</t>
  </si>
  <si>
    <t>Replace the irrigation system.</t>
  </si>
  <si>
    <t>Powerwash Exterior Brick</t>
  </si>
  <si>
    <t>Powerwash the exterior brick façade on all buildings.</t>
  </si>
  <si>
    <t>Exterior Doors</t>
  </si>
  <si>
    <t>Doors</t>
  </si>
  <si>
    <t>Replace exterior doors.</t>
  </si>
  <si>
    <t>Sign</t>
  </si>
  <si>
    <t>Rubber Mulch Playground</t>
  </si>
  <si>
    <t>Playground</t>
  </si>
  <si>
    <t>Add rubber mulch to the plrayground.</t>
  </si>
  <si>
    <t>Add Pickle Ball Court</t>
  </si>
  <si>
    <t>Add pickle ball court on the old basketball court.</t>
  </si>
  <si>
    <t>Pool Amenity Addition</t>
  </si>
  <si>
    <t>Add resort-like outdoor amenity near pool on excess parking surface.</t>
  </si>
  <si>
    <t>Equity Placement</t>
  </si>
  <si>
    <t>Current Rate</t>
  </si>
  <si>
    <t>PIK Rate</t>
  </si>
  <si>
    <t>Payment Date</t>
  </si>
  <si>
    <t>Days of Interest</t>
  </si>
  <si>
    <t>Current</t>
  </si>
  <si>
    <t>PIK</t>
  </si>
  <si>
    <t>Paid</t>
  </si>
  <si>
    <t>Principal Balance</t>
  </si>
  <si>
    <t>Payoff</t>
  </si>
  <si>
    <t>Paint</t>
  </si>
  <si>
    <t>Full paint throughout unit</t>
  </si>
  <si>
    <t>Hard surface Countertops</t>
  </si>
  <si>
    <t>Kitchen and one bathroom granite counters</t>
  </si>
  <si>
    <t>Paint Cabinets / Fronts</t>
  </si>
  <si>
    <t>Paint kitchen and vanity cabinets and install new fronts and hardware</t>
  </si>
  <si>
    <t>Stainless Steel Package</t>
  </si>
  <si>
    <t xml:space="preserve">New stainless appliances installed </t>
  </si>
  <si>
    <t>Hardware / Plumbing Package</t>
  </si>
  <si>
    <t>New electric and plumbing hardware throughout unit</t>
  </si>
  <si>
    <t>Back Splash</t>
  </si>
  <si>
    <t xml:space="preserve">Install tile backsplash in kitchen </t>
  </si>
  <si>
    <t>Vanity Top</t>
  </si>
  <si>
    <t>Install new vanity sinks</t>
  </si>
  <si>
    <t>Clean Unit</t>
  </si>
  <si>
    <t>Full unit clean after rehab</t>
  </si>
  <si>
    <t>LVP Throughout/Carpet Stairs</t>
  </si>
  <si>
    <t>Install LVP through unit (4mm+1.5mm pad, 20 MIL) and carpet stairs</t>
  </si>
  <si>
    <t>Ceiling Fans</t>
  </si>
  <si>
    <t>Add ceiling fans to bedrooms as needed</t>
  </si>
  <si>
    <t>Designer</t>
  </si>
  <si>
    <t>ROI By Design services</t>
  </si>
  <si>
    <t xml:space="preserve">Paint exterior brick on all apartment buildings  </t>
  </si>
  <si>
    <t>Replace exterior doors</t>
  </si>
  <si>
    <t>Garage Door</t>
  </si>
  <si>
    <t>Replace garage doors as needed</t>
  </si>
  <si>
    <t>Gym</t>
  </si>
  <si>
    <t>Amenity</t>
  </si>
  <si>
    <t>New paint, wall decor, carpet, light fixtures, mirrors</t>
  </si>
  <si>
    <t xml:space="preserve">Model Units </t>
  </si>
  <si>
    <t>Staging for model unit</t>
  </si>
  <si>
    <t>Dog Park</t>
  </si>
  <si>
    <t xml:space="preserve">Add dog wash </t>
  </si>
  <si>
    <t xml:space="preserve">Full exterior paint, update soffit, new light fixtures throughout. Rehab bathrooms. Install kitchen area. Add new furniture. Add security cameras. New doors throughout. Upgrade office equipment, etc. </t>
  </si>
  <si>
    <t>New pool furniture</t>
  </si>
  <si>
    <t>Add rubber mulch to playground</t>
  </si>
  <si>
    <t>Pool &amp; Outdoor Amenity</t>
  </si>
  <si>
    <t>Build out of outdoor amenity space per design plans</t>
  </si>
  <si>
    <t>Construction Loan</t>
  </si>
  <si>
    <t xml:space="preserve">Stabalized Finance Phase 1 </t>
  </si>
  <si>
    <t xml:space="preserve">Amortization </t>
  </si>
  <si>
    <t>Refi Month</t>
  </si>
  <si>
    <t>Cap Refi</t>
  </si>
  <si>
    <t>New Prinicpal</t>
  </si>
  <si>
    <t>Appraised Value</t>
  </si>
  <si>
    <t>Annual Payment</t>
  </si>
  <si>
    <t>Monthly Payment</t>
  </si>
  <si>
    <t>Loan to be Paid off</t>
  </si>
  <si>
    <t>I/O Payment</t>
  </si>
  <si>
    <t>Net proceeds</t>
  </si>
  <si>
    <t>I/O Period</t>
  </si>
  <si>
    <t>Amortization Schedule</t>
  </si>
  <si>
    <t>Refinance Amortization Schedule</t>
  </si>
  <si>
    <t>Year</t>
  </si>
  <si>
    <t>Ending
Balance</t>
  </si>
  <si>
    <t>Month in Loan</t>
  </si>
  <si>
    <t>Month in deal</t>
  </si>
  <si>
    <t>60 Unit BTR</t>
  </si>
  <si>
    <t>Draw Request</t>
  </si>
  <si>
    <t>Debt</t>
  </si>
  <si>
    <t>Debt Outstanding</t>
  </si>
  <si>
    <t>Property Id</t>
  </si>
  <si>
    <t>Map #</t>
  </si>
  <si>
    <t>Building Name</t>
  </si>
  <si>
    <t>Rating</t>
  </si>
  <si>
    <t>Apartments.com Ad Level</t>
  </si>
  <si>
    <t>Common View Last 60 Days</t>
  </si>
  <si>
    <t>% Overlap with Subject Property</t>
  </si>
  <si>
    <t>Stories</t>
  </si>
  <si>
    <t>Yr Blt/Ren</t>
  </si>
  <si>
    <t>Avg SF</t>
  </si>
  <si>
    <t>mi Away</t>
  </si>
  <si>
    <t>Rent/SF</t>
  </si>
  <si>
    <t>Rent/Unit</t>
  </si>
  <si>
    <t>Studio</t>
  </si>
  <si>
    <t>1 Beds</t>
  </si>
  <si>
    <t>2 Beds</t>
  </si>
  <si>
    <t>3 Beds</t>
  </si>
  <si>
    <t>Occ %</t>
  </si>
  <si>
    <t>Concess %</t>
  </si>
  <si>
    <t>#Studio</t>
  </si>
  <si>
    <t>#1 Beds</t>
  </si>
  <si>
    <t>#2 Beds</t>
  </si>
  <si>
    <t>#3 Beds</t>
  </si>
  <si>
    <t>Neighborhood</t>
  </si>
  <si>
    <t>100528</t>
  </si>
  <si>
    <t>-</t>
  </si>
  <si>
    <t>13900 Newton St</t>
  </si>
  <si>
    <t>1999/-</t>
  </si>
  <si>
    <t>Outlying Johnson County KS</t>
  </si>
  <si>
    <t>6623892</t>
  </si>
  <si>
    <t>Corbin Crossing Apartments</t>
  </si>
  <si>
    <t>6801 W 138th Ter</t>
  </si>
  <si>
    <t>Diamond</t>
  </si>
  <si>
    <t>2006/-</t>
  </si>
  <si>
    <t>9374780</t>
  </si>
  <si>
    <t>The Ranch at Prairie Trace</t>
  </si>
  <si>
    <t>13601 Foster St</t>
  </si>
  <si>
    <t>Platinum</t>
  </si>
  <si>
    <t>2015/-</t>
  </si>
  <si>
    <t>9286697</t>
  </si>
  <si>
    <t>Fairways at Corbin Park</t>
  </si>
  <si>
    <t>13820 Russell St</t>
  </si>
  <si>
    <t>Gold</t>
  </si>
  <si>
    <t>2010/-</t>
  </si>
  <si>
    <t>9284201</t>
  </si>
  <si>
    <t>Corbin Greens</t>
  </si>
  <si>
    <t>14000 Russell St</t>
  </si>
  <si>
    <t>2014/-</t>
  </si>
  <si>
    <t>10586613</t>
  </si>
  <si>
    <t>Carson Street Towers</t>
  </si>
  <si>
    <t>6741-6743 W 135th St</t>
  </si>
  <si>
    <t>2020/-</t>
  </si>
  <si>
    <t>4579510</t>
  </si>
  <si>
    <t>The Village at LionsGate</t>
  </si>
  <si>
    <t>14631 Broadmoor St</t>
  </si>
  <si>
    <t>2000/-</t>
  </si>
  <si>
    <t>7769193</t>
  </si>
  <si>
    <t>Sandstone Creek</t>
  </si>
  <si>
    <t>7450 W 139th Ter</t>
  </si>
  <si>
    <t>2001/2014</t>
  </si>
  <si>
    <t>857460</t>
  </si>
  <si>
    <t>Savoy Overland Park Apartments</t>
  </si>
  <si>
    <t>7100-7200 W 141st St</t>
  </si>
  <si>
    <t>2001/-</t>
  </si>
  <si>
    <t xml:space="preserve">Amenity Breakdown </t>
  </si>
  <si>
    <t>Map</t>
  </si>
  <si>
    <t>Appt Name</t>
  </si>
  <si>
    <t>Unit Count</t>
  </si>
  <si>
    <t xml:space="preserve">Year Built </t>
  </si>
  <si>
    <t xml:space="preserve">Occupancy </t>
  </si>
  <si>
    <t>Comp Rating</t>
  </si>
  <si>
    <t>Avg rent</t>
  </si>
  <si>
    <t>Avg $/SF</t>
  </si>
  <si>
    <t>Condo Style</t>
  </si>
  <si>
    <t>Courtyard</t>
  </si>
  <si>
    <t xml:space="preserve">Tennis </t>
  </si>
  <si>
    <t>Grills</t>
  </si>
  <si>
    <t>Private Balconies</t>
  </si>
  <si>
    <t>In-unit Wash/Dry</t>
  </si>
  <si>
    <t>Gated</t>
  </si>
  <si>
    <t>Granite Kitchen</t>
  </si>
  <si>
    <t>Maintenance on-site</t>
  </si>
  <si>
    <t xml:space="preserve">Spa/Sauna </t>
  </si>
  <si>
    <t>Putting Green</t>
  </si>
  <si>
    <t>x</t>
  </si>
  <si>
    <t>Bradford Pointe</t>
  </si>
  <si>
    <t>Pointe Royal</t>
  </si>
  <si>
    <t>Hunter's Pointe TH</t>
  </si>
  <si>
    <t>Jefferson Pointe</t>
  </si>
  <si>
    <t>Both</t>
  </si>
  <si>
    <t xml:space="preserve">Both </t>
  </si>
  <si>
    <t xml:space="preserve">Savoy Apartments </t>
  </si>
  <si>
    <t>Corbin Crossing</t>
  </si>
  <si>
    <t>Village at Lionsgate</t>
  </si>
  <si>
    <t>Weston Point</t>
  </si>
  <si>
    <t>https://www.apartments.com/bradford-pointe-overland-park-ks/vk1hf8e/</t>
  </si>
  <si>
    <t>11001 W 133rd Ter, Overland Park, KS 66213</t>
  </si>
  <si>
    <t>Beds</t>
  </si>
  <si>
    <t>Baths</t>
  </si>
  <si>
    <t># Units</t>
  </si>
  <si>
    <t>Mix %</t>
  </si>
  <si>
    <t>Units Available - Units</t>
  </si>
  <si>
    <t>Units Available - Percent</t>
  </si>
  <si>
    <t>Avg Asking Rent/Unit</t>
  </si>
  <si>
    <t>Avg Asking Rent/SF</t>
  </si>
  <si>
    <t>Avg Effective Rent/Unit</t>
  </si>
  <si>
    <t>Avg Effective Rent/SF</t>
  </si>
  <si>
    <t>Concessions - %</t>
  </si>
  <si>
    <t>1</t>
  </si>
  <si>
    <t>2</t>
  </si>
  <si>
    <t>3</t>
  </si>
  <si>
    <t>All 1 Beds</t>
  </si>
  <si>
    <t>All 2 Beds</t>
  </si>
  <si>
    <t>All 3 Beds</t>
  </si>
  <si>
    <t>Totals</t>
  </si>
  <si>
    <t>https://www.apartments.com/pointe-royal-overland-park-ks/bg3n4n9/</t>
  </si>
  <si>
    <t>8401 W 123rd St, Overland Park, KS 66213</t>
  </si>
  <si>
    <t>https://www.apartments.com/hunters-pointe-overland-park-ks/jv7q4h4/</t>
  </si>
  <si>
    <t>9800 W 118th St, Overland Park, KS 66210</t>
  </si>
  <si>
    <t>1,115</t>
  </si>
  <si>
    <t>1,311</t>
  </si>
  <si>
    <t>1,313</t>
  </si>
  <si>
    <t>1,270</t>
  </si>
  <si>
    <t>1,324</t>
  </si>
  <si>
    <t>1,415</t>
  </si>
  <si>
    <t>1,474</t>
  </si>
  <si>
    <t>1,706</t>
  </si>
  <si>
    <t>1,394</t>
  </si>
  <si>
    <t>1,342</t>
  </si>
  <si>
    <t>2,117</t>
  </si>
  <si>
    <t>1,545</t>
  </si>
  <si>
    <t>1,725</t>
  </si>
  <si>
    <t>2,047</t>
  </si>
  <si>
    <t>2,229</t>
  </si>
  <si>
    <t>2,352</t>
  </si>
  <si>
    <t>https://www.apartments.com/jefferson-pointe-overland-park-ks/ssrnmc7/</t>
  </si>
  <si>
    <t>11810 Farley St</t>
  </si>
  <si>
    <t>https://www.apartments.com/sandstone-creek-overland-park-ks/5he92zp/</t>
  </si>
  <si>
    <t>7450 W 139th Ter, Overland Park, KS 66223</t>
  </si>
  <si>
    <t>https://www.apartments.com/savoy-apartments-overland-park-ks/p3sdllr/</t>
  </si>
  <si>
    <t>7100-7200 W 141st St, Overland Park, KS 66223</t>
  </si>
  <si>
    <t>https://www.apartments.com/corbin-crossing-overland-park-ks/phpkmgt/</t>
  </si>
  <si>
    <t>6801 W 138th Ter, Overland Park, KS 66223</t>
  </si>
  <si>
    <t>https://www.apartments.com/village-at-lionsgate-overland-park-ks/2d3zm0c/</t>
  </si>
  <si>
    <t>14631 Broadmoor St, Overland Park, KS 66223</t>
  </si>
  <si>
    <t>https://www.apartments.com/ranch-at-prairie-trace-overland-park-ks/lwmt1ed/</t>
  </si>
  <si>
    <t>13601 Foster St, Overland Park, KS 66223</t>
  </si>
  <si>
    <t>https://www.apartments.com/corbin-greens-apartments-overland-park-ks/ljs3t0e/</t>
  </si>
  <si>
    <t>14000 Russell St, Overland Park, KS 66223</t>
  </si>
  <si>
    <t>https://www.apartments.com/weston-point-apartments-overland-park-ks/s8y86e7/</t>
  </si>
  <si>
    <t>13340-13340 Outlook Dr, Overland Park, KS 66209</t>
  </si>
  <si>
    <t xml:space="preserve">Total </t>
  </si>
  <si>
    <t>Lender 1</t>
  </si>
  <si>
    <t>Lender 2</t>
  </si>
  <si>
    <t>Lender 3</t>
  </si>
  <si>
    <t>Lender 4</t>
  </si>
  <si>
    <t>Lender 5</t>
  </si>
  <si>
    <t>Loan Type</t>
  </si>
  <si>
    <t>FNMA</t>
  </si>
  <si>
    <t>HUD</t>
  </si>
  <si>
    <t>Loan Proceeds</t>
  </si>
  <si>
    <t>Index</t>
  </si>
  <si>
    <t>10-Year Treasury</t>
  </si>
  <si>
    <t>As of</t>
  </si>
  <si>
    <t>Index Floor</t>
  </si>
  <si>
    <t>Index Rates</t>
  </si>
  <si>
    <t>Spread</t>
  </si>
  <si>
    <t>30-Day LIBOR</t>
  </si>
  <si>
    <t>All-In Rate</t>
  </si>
  <si>
    <t>5-Year Treasury</t>
  </si>
  <si>
    <t>Term</t>
  </si>
  <si>
    <t>5-Year Swap</t>
  </si>
  <si>
    <t>Interest Only</t>
  </si>
  <si>
    <t>10-Year Swap</t>
  </si>
  <si>
    <t>Fixed/Floating</t>
  </si>
  <si>
    <t>Fixed</t>
  </si>
  <si>
    <t>Prepayment Penalty</t>
  </si>
  <si>
    <t>YM</t>
  </si>
  <si>
    <t>10,9,8,7,6,5,4,3,2,1</t>
  </si>
  <si>
    <t>Spreads</t>
  </si>
  <si>
    <t>Supplemental Financing</t>
  </si>
  <si>
    <t>Yes, after 1 year</t>
  </si>
  <si>
    <t>3rd party, up to 92.5%</t>
  </si>
  <si>
    <t>10-Year Agency Fixed</t>
  </si>
  <si>
    <t>Origination Fee</t>
  </si>
  <si>
    <t>10-Year Agency Float</t>
  </si>
  <si>
    <t>Exit Fee</t>
  </si>
  <si>
    <t>10-Year CMBS</t>
  </si>
  <si>
    <t>Assumption Fee</t>
  </si>
  <si>
    <t>Bridge</t>
  </si>
  <si>
    <t>Max LTV/LTC</t>
  </si>
  <si>
    <t>Min Debt Yield</t>
  </si>
  <si>
    <t>Amortized Debt Service</t>
  </si>
  <si>
    <t>Comments</t>
  </si>
  <si>
    <t>MIP: at closing 1% (.25% green), annual .6% (.25% green)</t>
  </si>
  <si>
    <t>Underwriting</t>
  </si>
  <si>
    <t>Underwritten NOI</t>
  </si>
  <si>
    <t>Underwritten Cap Rate</t>
  </si>
  <si>
    <t>Market Cap Rate</t>
  </si>
  <si>
    <t>Valuation</t>
  </si>
  <si>
    <t>Actual LTC</t>
  </si>
  <si>
    <t>Actual DSCR</t>
  </si>
  <si>
    <t>Actual Debt Yield</t>
  </si>
  <si>
    <t>UW Notes</t>
  </si>
  <si>
    <t>*EXAMPLE/TEMPLATE - Not Real Budget*</t>
  </si>
  <si>
    <t>Completion Date</t>
  </si>
  <si>
    <t>Unit Turns (Light)</t>
  </si>
  <si>
    <t>Paint, new cabinet/door hardware, new lighting and GFCIs.</t>
  </si>
  <si>
    <t>Unit Renovations</t>
  </si>
  <si>
    <t>Paint kitchen cabinets and epoxy coat countertop, new faucet, new appliances, new vinyl plank flooring throughout, paint, new lighting/fans, expoxy spray tub/shower, new vanity &amp; faucet, install GFCIs.</t>
  </si>
  <si>
    <t xml:space="preserve">Down Units </t>
  </si>
  <si>
    <t>Replace drywall as needed, new doors, new trim, new cabinets, new countertops (granite), new stainless steel sink, new faucet, new stainless steel appliances, new vinyl plank flooring throughout, paint, new lighting/fans (GFCIs), new tub/shower surround , new vanity &amp; faucet, new plumbing, electric, furnace, and condensing unit.</t>
  </si>
  <si>
    <t>Corridors/Stairs/Elevators</t>
  </si>
  <si>
    <t>19 Buildings</t>
  </si>
  <si>
    <t>Replace flooring (stairs and landings) with commercial grade vinyl flooring (stairs to be heavy-duty treads with bullnose edging), paint stringers, risers, and railings to match with high gloss floor and deck enamel, patch walls as needed and paint with two coats of Sherwin Williams epoxy paint, change out lighting to LED fixtures.</t>
  </si>
  <si>
    <t>Electrical</t>
  </si>
  <si>
    <t>Replace meter pans</t>
  </si>
  <si>
    <t xml:space="preserve">Replace Federal Pacific Stab-Lok panels </t>
  </si>
  <si>
    <t xml:space="preserve">Mitigate aluminum wiring </t>
  </si>
  <si>
    <t>Plumbing</t>
  </si>
  <si>
    <t>Install low flow toilets, faucets, and showerheads.</t>
  </si>
  <si>
    <t>HVAC</t>
  </si>
  <si>
    <t>Replace Furnaces and condensing units as needed - Balance to be funded from operations or the Replacement Reserve.</t>
  </si>
  <si>
    <t>Fire Sprinkler/Fire Alarm</t>
  </si>
  <si>
    <t xml:space="preserve">Update control panels  </t>
  </si>
  <si>
    <t xml:space="preserve">Units </t>
  </si>
  <si>
    <t xml:space="preserve">Replace smoke heads to smoke/CO2 detectors </t>
  </si>
  <si>
    <t>Foundation/Structural  Repairs</t>
  </si>
  <si>
    <t>Buildings #1, #4, #9, and #13 are settling and have visible cracks. Make necessary repairs per the PCA.</t>
  </si>
  <si>
    <t>Masonry Repairs</t>
  </si>
  <si>
    <t>Re-point brick façade (All Buildings as needed.</t>
  </si>
  <si>
    <t xml:space="preserve">New Windows/Exterior Doors                                </t>
  </si>
  <si>
    <t>Replace all aluminum windows with vinyl double pane windows and exterior doors with steel insulated doors.</t>
  </si>
  <si>
    <t>Windows</t>
  </si>
  <si>
    <t>Siding Repairs/Replacement</t>
  </si>
  <si>
    <t>Install Hardie Siding, Caulk &amp; Paint.</t>
  </si>
  <si>
    <t>Paint/Caulk/Trim</t>
  </si>
  <si>
    <t>Paint entire exterior</t>
  </si>
  <si>
    <t>Roof Replacements - (# of Bldgs.)</t>
  </si>
  <si>
    <t>Replace all asphalt shingles and decking as needed.</t>
  </si>
  <si>
    <t>Fascia/Soffits/Gutters - All Bldgs.</t>
  </si>
  <si>
    <t>Repair Fascia and soffits as needed (with vinyl) and replace all gutters and leaders.  Pipe leaders away from the buildings.</t>
  </si>
  <si>
    <t>Stairs/Railings/Balcony/Patio Repairs</t>
  </si>
  <si>
    <t>Repair/Replace balconies and patios as needed.</t>
  </si>
  <si>
    <t>Exterior Lighting</t>
  </si>
  <si>
    <t>Replace exterior site lighting with LED.</t>
  </si>
  <si>
    <t>Security Cameras</t>
  </si>
  <si>
    <t>Upgrade security cameras.</t>
  </si>
  <si>
    <t>Asphalt Repairs/ Sealcoat &amp; Re-stripe</t>
  </si>
  <si>
    <t>40,000 Sq. Ft.</t>
  </si>
  <si>
    <t>Replace sections of potholes, alligatoring, settling/ponding as noted in  the PCA, sealcoat &amp; re-stripe all parking areas and drive aisles.</t>
  </si>
  <si>
    <t>Concrete Repairs/Replacement</t>
  </si>
  <si>
    <t>Numerous sidewalk sections throughout the property need replacement.</t>
  </si>
  <si>
    <t>Sewer &amp; Drainage Repairs</t>
  </si>
  <si>
    <t xml:space="preserve">Jet sanitary lines and clean out catch basins. </t>
  </si>
  <si>
    <t>Landscaping/Irrigation/Tree Trim - Removal</t>
  </si>
  <si>
    <t>Cut back/cut down trees away from the buildings, remove overgrown shrubs/bushes &amp; replant as needed, irrigation repairs, and address areas of erosion.</t>
  </si>
  <si>
    <t>Retaining Wall Repairs/Replacement</t>
  </si>
  <si>
    <t>Remove deteriorated/leaning railroad tie retaining walls and replace with concrete block/stack block</t>
  </si>
  <si>
    <t>Fences/Gates</t>
  </si>
  <si>
    <t>Repair/replace entry gates to the property.</t>
  </si>
  <si>
    <t>Install new monument sign.</t>
  </si>
  <si>
    <t>Remodel leasing office and clubhouse, new tile flooring, paint, furniture, remodel kitchen - new cabinets, granite countertops, appliances, restrooms to be ADA compliant, install ADA ramp at entrance.</t>
  </si>
  <si>
    <t>Pool Repairs/Pool Deck Repairs/Furniture</t>
  </si>
  <si>
    <t>Convert to salt water, Resurface the pool and deck, install new filtration system.</t>
  </si>
  <si>
    <t>Purchase new furniture.</t>
  </si>
  <si>
    <t>Amenities</t>
  </si>
  <si>
    <t>Gym, Laundry, Playground, Sports Courts, Dog Park, Dog Wash Station, Bar B Ques, Fire Pits, Car Wash Station, Wi-Fi.</t>
  </si>
  <si>
    <t>Rent Comparables</t>
  </si>
  <si>
    <t>Property</t>
  </si>
  <si>
    <t>One Bedroom x One Bathroom</t>
  </si>
  <si>
    <t>Comp 1</t>
  </si>
  <si>
    <t>Occupancy</t>
  </si>
  <si>
    <t>Distance</t>
  </si>
  <si>
    <t>SQ FT</t>
  </si>
  <si>
    <t>Rent</t>
  </si>
  <si>
    <t>Rent/SQ FT</t>
  </si>
  <si>
    <t>Comp 2</t>
  </si>
  <si>
    <t>Comp 3</t>
  </si>
  <si>
    <t>Comp 4</t>
  </si>
  <si>
    <t>Comp 5</t>
  </si>
  <si>
    <t>Comp 6</t>
  </si>
  <si>
    <t>Comp 7</t>
  </si>
  <si>
    <t>Average of Comps</t>
  </si>
  <si>
    <t>Subject Property</t>
  </si>
  <si>
    <t>Two Bedroom x One Bathroom</t>
  </si>
  <si>
    <t>Two Bedroom x Two Bathroom</t>
  </si>
  <si>
    <t>Three Bedroom x Two Bathroom</t>
  </si>
  <si>
    <t>Sales Comparables</t>
  </si>
  <si>
    <t>Propert Name</t>
  </si>
  <si>
    <t>Total SQ FT</t>
  </si>
  <si>
    <t>Avg SQ FT</t>
  </si>
  <si>
    <t>Sale Date</t>
  </si>
  <si>
    <t>Sale Price</t>
  </si>
  <si>
    <t>Price/Unit</t>
  </si>
  <si>
    <t>Price/SQ FT</t>
  </si>
  <si>
    <t>Project Summary</t>
  </si>
  <si>
    <t>Preferred Equity Terms</t>
  </si>
  <si>
    <t>Pref Equity Check</t>
  </si>
  <si>
    <t>Pref LTV</t>
  </si>
  <si>
    <t>Average Rent Premium</t>
  </si>
  <si>
    <t>Pref LTC</t>
  </si>
  <si>
    <t>CapEx &amp; Reserves</t>
  </si>
  <si>
    <t>Pref Current Pay</t>
  </si>
  <si>
    <t>Pref Accrual</t>
  </si>
  <si>
    <t>Loan To Cost</t>
  </si>
  <si>
    <t>Exterior &amp; Amenities</t>
  </si>
  <si>
    <t>Reserves</t>
  </si>
  <si>
    <t>Fees</t>
  </si>
  <si>
    <t>1% in / 1% out</t>
  </si>
  <si>
    <t>Adjusted Trailing Cap Rate</t>
  </si>
  <si>
    <t>Y1 Operating Cap Rate</t>
  </si>
  <si>
    <t>Common Equity</t>
  </si>
  <si>
    <t>Physical Vacancy</t>
  </si>
  <si>
    <t>Lone Star Pref Equity</t>
  </si>
  <si>
    <t>Vintage</t>
  </si>
  <si>
    <t>Revenue Shock</t>
  </si>
  <si>
    <t>Market Shock</t>
  </si>
  <si>
    <t>Cash Flow After Debt Service</t>
  </si>
  <si>
    <t>Preferred Equity Current Pay</t>
  </si>
  <si>
    <t>Senior + Pref ICR</t>
  </si>
  <si>
    <t>Pref Basis/New Loan</t>
  </si>
  <si>
    <t>Senior + Pref DSCR</t>
  </si>
  <si>
    <t>Pref Breakeven Occupancy</t>
  </si>
  <si>
    <t>Free Cash Flow</t>
  </si>
  <si>
    <t>Property Valuation</t>
  </si>
  <si>
    <t>Preferred Equity Cost Basis + Accrual</t>
  </si>
  <si>
    <t>Last Dollar Basis</t>
  </si>
  <si>
    <t>Preferred Equity Yield (DY)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</si>
</sst>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
    <numFmt numFmtId="165" formatCode="0.0%"/>
    <numFmt numFmtId="166" formatCode="&quot;$&quot;#,##0.00"/>
    <numFmt numFmtId="167" formatCode="&quot;$&quot;#,##0.0"/>
    <numFmt numFmtId="168" formatCode="0.00\x"/>
    <numFmt numFmtId="169" formatCode="[$-409]mmm\-yy;@"/>
    <numFmt numFmtId="170" formatCode="0.00&quot; mi&quot;"/>
    <numFmt numFmtId="171" formatCode="0&quot; Years&quot;"/>
    <numFmt numFmtId="172" formatCode="0&quot; Months&quot;"/>
    <numFmt numFmtId="173" formatCode="General&quot; Months&quot;"/>
    <numFmt numFmtId="174" formatCode="&quot;$&quot;0&quot;/u/Year&quot;"/>
    <numFmt numFmtId="175" formatCode="0%\+"/>
    <numFmt numFmtId="176" formatCode="0&quot; years&quot;"/>
    <numFmt numFmtId="177" formatCode="_(* #,##0_);_(* \(#,##0\);_(* &quot;-&quot;??_);_(@_)"/>
    <numFmt numFmtId="178" formatCode="0_)"/>
    <numFmt numFmtId="179" formatCode="_(&quot;$&quot;* #,##0_);_(&quot;$&quot;* \(#,##0\);_(&quot;$&quot;* &quot;-&quot;??_);_(@_)"/>
    <numFmt numFmtId="180" formatCode="&quot;Avg&quot;\ 0.00%\ "/>
    <numFmt numFmtId="181" formatCode="#,##0\ &quot;SF&quot;"/>
    <numFmt numFmtId="182" formatCode="0.0"/>
    <numFmt numFmtId="183" formatCode="#,##0\ &quot;PSF&quot;"/>
    <numFmt numFmtId="184" formatCode="##,###,###,##0_);[Red]\(##,###,###,##0\)"/>
    <numFmt numFmtId="185" formatCode="#,##0.0%_);[Red]\-#,##0.0%"/>
    <numFmt numFmtId="186" formatCode="##,###,###,##0.00_);[Red]\(##,###,###,##0.00\)"/>
    <numFmt numFmtId="187" formatCode="\$##,###,###,##0.00_);[Red]\(\$##,###,###,##0.00\)"/>
    <numFmt numFmtId="188" formatCode="\$##,###,###,##0_);[Red]\(\$##,###,###,##0\)"/>
    <numFmt numFmtId="189" formatCode="#,##0.0"/>
    <numFmt numFmtId="190" formatCode="#,##0.0%"/>
    <numFmt numFmtId="191" formatCode="0.000%"/>
    <numFmt numFmtId="192" formatCode="&quot;Year&quot;\ 0"/>
    <numFmt numFmtId="193" formatCode="&quot;Year&quot;\ 0\ &quot;NOI&quot;"/>
    <numFmt numFmtId="194" formatCode="_([$$-409]* #,##0_);_([$$-409]* \(#,##0\);_([$$-409]* &quot;-&quot;??_);_(@_)"/>
  </numFmts>
  <fonts count="93">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2"/>
      <color theme="0"/>
      <name val="Calibri"/>
      <family val="2"/>
      <scheme val="minor"/>
    </font>
    <font>
      <b/>
      <sz val="20"/>
      <color theme="4"/>
      <name val="Calibri"/>
      <family val="2"/>
      <scheme val="minor"/>
    </font>
    <font>
      <b/>
      <sz val="12"/>
      <color theme="4"/>
      <name val="Calibri"/>
      <family val="2"/>
      <scheme val="minor"/>
    </font>
    <font>
      <b/>
      <sz val="12"/>
      <color rgb="FF4472C4"/>
      <name val="Calibri"/>
      <family val="2"/>
      <scheme val="minor"/>
    </font>
    <font>
      <sz val="12"/>
      <color theme="1"/>
      <name val="Calibri (Body)"/>
    </font>
    <font>
      <sz val="16"/>
      <color theme="1"/>
      <name val="American Typewriter Condensed"/>
    </font>
    <font>
      <b/>
      <sz val="14"/>
      <color theme="0"/>
      <name val="Calibri"/>
      <family val="2"/>
      <scheme val="minor"/>
    </font>
    <font>
      <sz val="12"/>
      <color theme="5"/>
      <name val="Calibri"/>
      <family val="2"/>
      <scheme val="minor"/>
    </font>
    <font>
      <sz val="12"/>
      <name val="Calibri"/>
      <family val="2"/>
      <scheme val="minor"/>
    </font>
    <font>
      <sz val="12"/>
      <color rgb="FF000000"/>
      <name val="Calibri"/>
      <family val="2"/>
      <scheme val="minor"/>
    </font>
    <font>
      <b/>
      <sz val="14"/>
      <color theme="1"/>
      <name val="Calibri"/>
      <family val="2"/>
      <scheme val="minor"/>
    </font>
    <font>
      <b/>
      <sz val="12"/>
      <name val="Calibri"/>
      <family val="2"/>
      <scheme val="minor"/>
    </font>
    <font>
      <b/>
      <sz val="14"/>
      <name val="Calibri"/>
      <family val="2"/>
      <scheme val="minor"/>
    </font>
    <font>
      <b/>
      <sz val="16"/>
      <color theme="1"/>
      <name val="Calibri"/>
      <family val="2"/>
      <scheme val="minor"/>
    </font>
    <font>
      <b/>
      <sz val="20"/>
      <color theme="0"/>
      <name val="Calibri"/>
      <family val="2"/>
      <scheme val="minor"/>
    </font>
    <font>
      <b/>
      <sz val="16"/>
      <color theme="4"/>
      <name val="Calibri"/>
      <family val="2"/>
      <scheme val="minor"/>
    </font>
    <font>
      <sz val="12"/>
      <color rgb="FFFF0000"/>
      <name val="Calibri"/>
      <family val="2"/>
      <scheme val="minor"/>
    </font>
    <font>
      <sz val="20"/>
      <color theme="3"/>
      <name val="Calibri"/>
      <family val="2"/>
      <scheme val="minor"/>
    </font>
    <font>
      <sz val="10"/>
      <name val="Arial"/>
      <family val="2"/>
    </font>
    <font>
      <sz val="12"/>
      <name val="Calibri (Body)"/>
    </font>
    <font>
      <sz val="14"/>
      <color theme="1"/>
      <name val="Calibri"/>
      <family val="2"/>
      <scheme val="minor"/>
    </font>
    <font>
      <b/>
      <sz val="16"/>
      <color theme="3"/>
      <name val="Calibri"/>
      <family val="2"/>
      <scheme val="minor"/>
    </font>
    <font>
      <sz val="10"/>
      <color theme="1"/>
      <name val="Calibri"/>
      <family val="2"/>
      <scheme val="minor"/>
    </font>
    <font>
      <sz val="10"/>
      <color theme="0" tint="-0.499984740745262"/>
      <name val="Calibri"/>
      <family val="2"/>
      <scheme val="minor"/>
    </font>
    <font>
      <b/>
      <sz val="12"/>
      <color theme="3"/>
      <name val="Calibri"/>
      <family val="2"/>
      <scheme val="minor"/>
    </font>
    <font>
      <sz val="16"/>
      <name val="Calibri"/>
      <family val="2"/>
      <scheme val="minor"/>
    </font>
    <font>
      <b/>
      <sz val="20"/>
      <color theme="3"/>
      <name val="Calibri"/>
      <family val="2"/>
      <scheme val="minor"/>
    </font>
    <font>
      <sz val="12"/>
      <color theme="3"/>
      <name val="Calibri"/>
      <family val="2"/>
      <scheme val="minor"/>
    </font>
    <font>
      <sz val="12"/>
      <color theme="4"/>
      <name val="Calibri"/>
      <family val="2"/>
      <scheme val="minor"/>
    </font>
    <font>
      <i/>
      <sz val="12"/>
      <color theme="1"/>
      <name val="Calibri"/>
      <family val="2"/>
      <scheme val="minor"/>
    </font>
    <font>
      <b/>
      <sz val="14"/>
      <color theme="3"/>
      <name val="Calibri"/>
      <family val="2"/>
      <scheme val="minor"/>
    </font>
    <font>
      <b/>
      <sz val="16"/>
      <color theme="0"/>
      <name val="Calibri"/>
      <family val="2"/>
      <scheme val="minor"/>
    </font>
    <font>
      <sz val="11"/>
      <color indexed="8"/>
      <name val="Calibri"/>
      <family val="2"/>
      <scheme val="minor"/>
    </font>
    <font>
      <sz val="12"/>
      <color theme="1"/>
      <name val="Calibri"/>
      <family val="2"/>
    </font>
    <font>
      <sz val="12"/>
      <color theme="1"/>
      <name val="Calibri BOdy"/>
    </font>
    <font>
      <sz val="10"/>
      <color rgb="FF000000"/>
      <name val="Arial"/>
      <family val="2"/>
    </font>
    <font>
      <sz val="11"/>
      <color theme="1"/>
      <name val="Calibri"/>
      <family val="2"/>
    </font>
    <font>
      <sz val="12"/>
      <color rgb="FF0000FF"/>
      <name val="Calibri"/>
      <family val="2"/>
    </font>
    <font>
      <b/>
      <sz val="12"/>
      <color theme="1"/>
      <name val="Calibri"/>
      <family val="2"/>
    </font>
    <font>
      <b/>
      <sz val="12"/>
      <color rgb="FFFFFFFF"/>
      <name val="Calibri"/>
      <family val="2"/>
    </font>
    <font>
      <b/>
      <sz val="10"/>
      <color rgb="FF000000"/>
      <name val="Arial"/>
      <family val="2"/>
    </font>
    <font>
      <b/>
      <sz val="10"/>
      <color theme="0"/>
      <name val="Arial"/>
      <family val="2"/>
    </font>
    <font>
      <b/>
      <sz val="10"/>
      <name val="Arial"/>
      <family val="2"/>
    </font>
    <font>
      <i/>
      <sz val="12"/>
      <name val="Calibri"/>
      <family val="2"/>
      <scheme val="minor"/>
    </font>
    <font>
      <sz val="10"/>
      <name val="Calibri"/>
      <family val="2"/>
      <scheme val="minor"/>
    </font>
    <font>
      <i/>
      <sz val="11"/>
      <color theme="1"/>
      <name val="Calibri"/>
      <family val="2"/>
      <scheme val="minor"/>
    </font>
    <font>
      <u/>
      <sz val="11"/>
      <color theme="10"/>
      <name val="Calibri"/>
      <family val="2"/>
      <scheme val="minor"/>
    </font>
    <font>
      <b/>
      <sz val="12"/>
      <color theme="4" tint="-0.499984740745262"/>
      <name val="Calibri"/>
      <family val="2"/>
      <scheme val="minor"/>
    </font>
    <font>
      <sz val="12"/>
      <color theme="4" tint="-0.499984740745262"/>
      <name val="Calibri"/>
      <family val="2"/>
      <scheme val="minor"/>
    </font>
    <font>
      <sz val="20"/>
      <color theme="4" tint="-0.499984740745262"/>
      <name val="Calibri"/>
      <family val="2"/>
      <scheme val="minor"/>
    </font>
    <font>
      <b/>
      <sz val="20"/>
      <color theme="4" tint="-0.499984740745262"/>
      <name val="Calibri"/>
      <family val="2"/>
      <scheme val="minor"/>
    </font>
    <font>
      <sz val="12"/>
      <color rgb="FF0070C0"/>
      <name val="Calibri"/>
      <family val="2"/>
      <scheme val="minor"/>
    </font>
    <font>
      <b/>
      <sz val="11"/>
      <color theme="0"/>
      <name val="Calibri"/>
      <family val="2"/>
      <scheme val="minor"/>
    </font>
    <font>
      <i/>
      <sz val="10"/>
      <color theme="1"/>
      <name val="Calibri"/>
      <family val="2"/>
      <scheme val="minor"/>
    </font>
    <font>
      <i/>
      <sz val="9"/>
      <color theme="1"/>
      <name val="Calibri"/>
      <family val="2"/>
      <scheme val="minor"/>
    </font>
    <font>
      <i/>
      <sz val="12"/>
      <color theme="5" tint="-0.249977111117893"/>
      <name val="Calibri"/>
      <family val="2"/>
      <scheme val="minor"/>
    </font>
    <font>
      <sz val="9"/>
      <color theme="1"/>
      <name val="Inter"/>
    </font>
    <font>
      <sz val="11"/>
      <color theme="1"/>
      <name val="Inter"/>
    </font>
    <font>
      <b/>
      <sz val="12"/>
      <color theme="1"/>
      <name val="Inter"/>
    </font>
    <font>
      <sz val="11"/>
      <color rgb="FFFF0000"/>
      <name val="Inter"/>
    </font>
    <font>
      <b/>
      <sz val="9"/>
      <color theme="0"/>
      <name val="Inter"/>
    </font>
    <font>
      <b/>
      <sz val="9"/>
      <color theme="1"/>
      <name val="Inter"/>
    </font>
    <font>
      <b/>
      <sz val="11"/>
      <color rgb="FF0559B3"/>
      <name val="Calibri"/>
      <family val="2"/>
    </font>
    <font>
      <b/>
      <sz val="11"/>
      <color theme="1"/>
      <name val="Calibri"/>
      <family val="2"/>
      <scheme val="minor"/>
    </font>
    <font>
      <u/>
      <sz val="12"/>
      <color theme="10"/>
      <name val="Calibri"/>
      <family val="2"/>
      <scheme val="minor"/>
    </font>
    <font>
      <b/>
      <sz val="10"/>
      <color rgb="FF000000"/>
      <name val="Calibri"/>
      <family val="2"/>
    </font>
    <font>
      <sz val="10"/>
      <color rgb="FF000000"/>
      <name val="Calibri"/>
      <family val="2"/>
    </font>
    <font>
      <b/>
      <sz val="10"/>
      <color theme="1"/>
      <name val="Calibri"/>
      <family val="2"/>
    </font>
    <font>
      <b/>
      <sz val="12"/>
      <color rgb="FF002060"/>
      <name val="Calibri"/>
      <family val="2"/>
      <scheme val="minor"/>
    </font>
    <font>
      <b/>
      <i/>
      <sz val="10"/>
      <color theme="1"/>
      <name val="Calibri"/>
      <family val="2"/>
      <scheme val="minor"/>
    </font>
    <font>
      <b/>
      <i/>
      <sz val="10"/>
      <color theme="3"/>
      <name val="Calibri"/>
      <family val="2"/>
      <scheme val="minor"/>
    </font>
    <font>
      <b/>
      <i/>
      <sz val="12"/>
      <color theme="3"/>
      <name val="Calibri"/>
      <family val="2"/>
      <scheme val="minor"/>
    </font>
    <font>
      <sz val="10"/>
      <color theme="4" tint="-0.499984740745262"/>
      <name val="Calibri"/>
      <family val="2"/>
      <scheme val="minor"/>
    </font>
    <font>
      <b/>
      <sz val="10"/>
      <color theme="0"/>
      <name val="Calibri"/>
      <family val="2"/>
      <scheme val="minor"/>
    </font>
    <font>
      <b/>
      <i/>
      <sz val="12"/>
      <color theme="1"/>
      <name val="Calibri"/>
      <family val="2"/>
      <scheme val="minor"/>
    </font>
    <font>
      <sz val="12"/>
      <color rgb="FF000000"/>
      <name val="Arial"/>
      <family val="2"/>
    </font>
    <font>
      <sz val="11"/>
      <color rgb="FFFF0000"/>
      <name val="Calibri"/>
      <family val="2"/>
    </font>
    <font>
      <sz val="11"/>
      <name val="Calibri"/>
      <family val="2"/>
    </font>
    <font>
      <sz val="11"/>
      <color theme="9"/>
      <name val="Calibri"/>
      <family val="2"/>
    </font>
    <font>
      <sz val="9"/>
      <color rgb="FF000000"/>
      <name val="Inter"/>
    </font>
  </fonts>
  <fills count="31">
    <fill>
      <patternFill patternType="none"/>
    </fill>
    <fill>
      <patternFill patternType="gray125"/>
    </fill>
    <fill>
      <patternFill patternType="solid">
        <fgColor theme="4" tint="0.79998168889431442"/>
        <bgColor indexed="64"/>
      </patternFill>
    </fill>
    <fill>
      <patternFill patternType="solid">
        <fgColor theme="3"/>
        <bgColor indexed="64"/>
      </patternFill>
    </fill>
    <fill>
      <patternFill patternType="solid">
        <fgColor theme="2"/>
        <bgColor indexed="64"/>
      </patternFill>
    </fill>
    <fill>
      <patternFill patternType="solid">
        <fgColor theme="3" tint="0.39997558519241921"/>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rgb="FFADB9CA"/>
        <bgColor rgb="FFADB9CA"/>
      </patternFill>
    </fill>
    <fill>
      <patternFill patternType="solid">
        <fgColor theme="7" tint="0.59999389629810485"/>
        <bgColor indexed="64"/>
      </patternFill>
    </fill>
    <fill>
      <patternFill patternType="solid">
        <fgColor theme="4" tint="-0.499984740745262"/>
        <bgColor rgb="FF0070C0"/>
      </patternFill>
    </fill>
    <fill>
      <patternFill patternType="solid">
        <fgColor theme="4" tint="-0.49998474074526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bgColor indexed="64"/>
      </patternFill>
    </fill>
    <fill>
      <patternFill patternType="solid">
        <fgColor theme="4"/>
        <bgColor theme="4"/>
      </patternFill>
    </fill>
    <fill>
      <patternFill patternType="solid">
        <fgColor rgb="FFD9E2F3"/>
        <bgColor rgb="FFD9E2F3"/>
      </patternFill>
    </fill>
    <fill>
      <patternFill patternType="solid">
        <fgColor rgb="FFEAEAEA"/>
        <bgColor theme="4"/>
      </patternFill>
    </fill>
    <fill>
      <patternFill patternType="solid">
        <fgColor rgb="FFFFFFFF"/>
        <bgColor theme="4"/>
      </patternFill>
    </fill>
    <fill>
      <patternFill patternType="solid">
        <fgColor rgb="FFF5F5F5"/>
        <bgColor theme="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bgColor indexed="64"/>
      </patternFill>
    </fill>
    <fill>
      <patternFill patternType="solid">
        <fgColor rgb="FFFFFF00"/>
        <bgColor indexed="64"/>
      </patternFill>
    </fill>
    <fill>
      <patternFill patternType="solid">
        <fgColor theme="6" tint="0.59999389629810485"/>
        <bgColor indexed="64"/>
      </patternFill>
    </fill>
  </fills>
  <borders count="65">
    <border>
      <left/>
      <right/>
      <top/>
      <bottom/>
      <diagonal/>
    </border>
    <border>
      <left/>
      <right/>
      <top style="hair">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hair">
        <color auto="1"/>
      </top>
      <bottom/>
      <diagonal/>
    </border>
    <border>
      <left/>
      <right style="medium">
        <color indexed="64"/>
      </right>
      <top style="hair">
        <color auto="1"/>
      </top>
      <bottom/>
      <diagonal/>
    </border>
    <border>
      <left/>
      <right/>
      <top/>
      <bottom style="medium">
        <color theme="3"/>
      </bottom>
      <diagonal/>
    </border>
    <border>
      <left style="dotted">
        <color indexed="64"/>
      </left>
      <right/>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dotted">
        <color theme="1"/>
      </bottom>
      <diagonal/>
    </border>
    <border>
      <left/>
      <right/>
      <top style="thin">
        <color theme="1"/>
      </top>
      <bottom style="dotted">
        <color theme="1"/>
      </bottom>
      <diagonal/>
    </border>
    <border>
      <left/>
      <right style="thin">
        <color theme="1"/>
      </right>
      <top style="thin">
        <color theme="1"/>
      </top>
      <bottom style="dotted">
        <color theme="1"/>
      </bottom>
      <diagonal/>
    </border>
    <border>
      <left/>
      <right/>
      <top/>
      <bottom style="thin">
        <color theme="3"/>
      </bottom>
      <diagonal/>
    </border>
    <border>
      <left style="dotted">
        <color theme="3"/>
      </left>
      <right/>
      <top/>
      <bottom/>
      <diagonal/>
    </border>
    <border>
      <left style="dotted">
        <color theme="3"/>
      </left>
      <right/>
      <top/>
      <bottom style="thin">
        <color theme="3"/>
      </bottom>
      <diagonal/>
    </border>
    <border>
      <left style="thick">
        <color auto="1"/>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rgb="FF44546A"/>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top/>
      <bottom style="thin">
        <color theme="3"/>
      </bottom>
      <diagonal/>
    </border>
    <border>
      <left/>
      <right style="medium">
        <color indexed="64"/>
      </right>
      <top/>
      <bottom style="thin">
        <color theme="3"/>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top style="medium">
        <color indexed="64"/>
      </top>
      <bottom/>
      <diagonal/>
    </border>
    <border>
      <left style="thick">
        <color auto="1"/>
      </left>
      <right/>
      <top/>
      <bottom style="medium">
        <color indexed="64"/>
      </bottom>
      <diagonal/>
    </border>
    <border>
      <left style="hair">
        <color auto="1"/>
      </left>
      <right/>
      <top/>
      <bottom/>
      <diagonal/>
    </border>
    <border>
      <left style="hair">
        <color auto="1"/>
      </left>
      <right/>
      <top style="thin">
        <color indexed="64"/>
      </top>
      <bottom/>
      <diagonal/>
    </border>
    <border>
      <left style="hair">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s>
  <cellStyleXfs count="36">
    <xf numFmtId="0" fontId="0" fillId="0" borderId="0"/>
    <xf numFmtId="9" fontId="10" fillId="0" borderId="0" applyFont="0" applyFill="0" applyBorder="0" applyAlignment="0" applyProtection="0"/>
    <xf numFmtId="43" fontId="10" fillId="0" borderId="0" applyFont="0" applyFill="0" applyBorder="0" applyAlignment="0" applyProtection="0"/>
    <xf numFmtId="0" fontId="45" fillId="0" borderId="0"/>
    <xf numFmtId="9"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48" fillId="0" borderId="0"/>
    <xf numFmtId="0" fontId="9" fillId="0" borderId="0"/>
    <xf numFmtId="44"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0" fontId="59" fillId="0" borderId="0" applyNumberFormat="0" applyFill="0" applyBorder="0" applyAlignment="0" applyProtection="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0" fontId="4" fillId="0" borderId="0"/>
    <xf numFmtId="9" fontId="4" fillId="0" borderId="0" applyFont="0" applyFill="0" applyBorder="0" applyAlignment="0" applyProtection="0"/>
    <xf numFmtId="0" fontId="77" fillId="0" borderId="0" applyNumberFormat="0" applyFill="0" applyBorder="0" applyAlignment="0" applyProtection="0"/>
    <xf numFmtId="0" fontId="3" fillId="0" borderId="0"/>
    <xf numFmtId="43" fontId="3" fillId="0" borderId="0" applyFont="0" applyFill="0" applyBorder="0" applyAlignment="0" applyProtection="0"/>
    <xf numFmtId="44" fontId="10"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44" fontId="2" fillId="0" borderId="0" applyFont="0" applyFill="0" applyBorder="0" applyAlignment="0" applyProtection="0"/>
    <xf numFmtId="0" fontId="1" fillId="0" borderId="0"/>
    <xf numFmtId="9" fontId="1" fillId="0" borderId="0" applyFont="0" applyFill="0" applyBorder="0" applyAlignment="0" applyProtection="0"/>
    <xf numFmtId="0" fontId="10" fillId="0" borderId="0"/>
    <xf numFmtId="0" fontId="31" fillId="0" borderId="0">
      <alignment vertical="center"/>
    </xf>
    <xf numFmtId="0" fontId="88" fillId="0" borderId="0"/>
    <xf numFmtId="43" fontId="88" fillId="0" borderId="0" applyFont="0" applyFill="0" applyBorder="0" applyAlignment="0" applyProtection="0"/>
  </cellStyleXfs>
  <cellXfs count="1312">
    <xf numFmtId="0" fontId="0" fillId="0" borderId="0" xfId="0"/>
    <xf numFmtId="0" fontId="0" fillId="0" borderId="0" xfId="0" applyAlignment="1" applyProtection="1">
      <alignment horizontal="left"/>
      <protection locked="0"/>
    </xf>
    <xf numFmtId="0" fontId="0" fillId="0" borderId="0" xfId="0" applyProtection="1">
      <protection locked="0"/>
    </xf>
    <xf numFmtId="164" fontId="0" fillId="0" borderId="0" xfId="0" applyNumberFormat="1" applyAlignment="1" applyProtection="1">
      <alignment horizontal="center"/>
      <protection locked="0"/>
    </xf>
    <xf numFmtId="0" fontId="0" fillId="0" borderId="0" xfId="0" applyAlignment="1" applyProtection="1">
      <alignment horizontal="center"/>
      <protection locked="0"/>
    </xf>
    <xf numFmtId="10" fontId="0" fillId="0" borderId="0" xfId="0" applyNumberFormat="1" applyAlignment="1" applyProtection="1">
      <alignment horizontal="center"/>
      <protection locked="0"/>
    </xf>
    <xf numFmtId="0" fontId="0" fillId="0" borderId="0" xfId="0" applyAlignment="1">
      <alignment horizontal="left"/>
    </xf>
    <xf numFmtId="165" fontId="0" fillId="0" borderId="0" xfId="1" applyNumberFormat="1" applyFont="1" applyAlignment="1" applyProtection="1">
      <alignment horizontal="center"/>
      <protection locked="0"/>
    </xf>
    <xf numFmtId="9" fontId="0" fillId="0" borderId="0" xfId="1" applyFont="1" applyAlignment="1" applyProtection="1">
      <alignment horizontal="center"/>
      <protection locked="0"/>
    </xf>
    <xf numFmtId="0" fontId="12" fillId="0" borderId="0" xfId="0" applyFont="1" applyAlignment="1">
      <alignment horizontal="center"/>
    </xf>
    <xf numFmtId="3" fontId="0" fillId="0" borderId="0" xfId="0" applyNumberFormat="1" applyAlignment="1" applyProtection="1">
      <alignment horizontal="center"/>
      <protection locked="0"/>
    </xf>
    <xf numFmtId="0" fontId="0" fillId="0" borderId="0" xfId="0" applyAlignment="1">
      <alignment horizontal="center"/>
    </xf>
    <xf numFmtId="164" fontId="0" fillId="0" borderId="0" xfId="0" applyNumberFormat="1" applyAlignment="1">
      <alignment horizontal="center"/>
    </xf>
    <xf numFmtId="0" fontId="12" fillId="0" borderId="0" xfId="0" applyFont="1" applyAlignment="1">
      <alignment horizontal="left"/>
    </xf>
    <xf numFmtId="6" fontId="0" fillId="0" borderId="0" xfId="0" applyNumberFormat="1" applyAlignment="1">
      <alignment horizontal="center"/>
    </xf>
    <xf numFmtId="165" fontId="0" fillId="0" borderId="0" xfId="1" applyNumberFormat="1" applyFont="1" applyAlignment="1" applyProtection="1">
      <alignment horizontal="center"/>
    </xf>
    <xf numFmtId="16" fontId="0" fillId="0" borderId="0" xfId="0" applyNumberFormat="1"/>
    <xf numFmtId="0" fontId="18" fillId="0" borderId="0" xfId="0" applyFont="1"/>
    <xf numFmtId="165" fontId="0" fillId="0" borderId="0" xfId="1" applyNumberFormat="1" applyFont="1" applyBorder="1" applyAlignment="1" applyProtection="1">
      <alignment horizontal="center"/>
    </xf>
    <xf numFmtId="164" fontId="0" fillId="0" borderId="0" xfId="1" applyNumberFormat="1" applyFont="1" applyAlignment="1" applyProtection="1">
      <alignment horizontal="center"/>
    </xf>
    <xf numFmtId="9" fontId="0" fillId="0" borderId="0" xfId="1" applyFont="1" applyAlignment="1" applyProtection="1">
      <alignment horizontal="center"/>
    </xf>
    <xf numFmtId="0" fontId="19" fillId="0" borderId="0" xfId="0" applyFont="1" applyAlignment="1">
      <alignment horizontal="center"/>
    </xf>
    <xf numFmtId="0" fontId="15" fillId="0" borderId="0" xfId="0" applyFont="1"/>
    <xf numFmtId="3" fontId="0" fillId="0" borderId="0" xfId="2" applyNumberFormat="1" applyFont="1" applyAlignment="1" applyProtection="1">
      <alignment horizontal="center"/>
    </xf>
    <xf numFmtId="167" fontId="0" fillId="0" borderId="0" xfId="0" applyNumberFormat="1" applyAlignment="1">
      <alignment horizontal="center"/>
    </xf>
    <xf numFmtId="0" fontId="19" fillId="0" borderId="0" xfId="0" applyFont="1"/>
    <xf numFmtId="3" fontId="0" fillId="0" borderId="0" xfId="0" applyNumberFormat="1" applyAlignment="1">
      <alignment horizontal="center"/>
    </xf>
    <xf numFmtId="10" fontId="0" fillId="0" borderId="0" xfId="0" applyNumberFormat="1" applyAlignment="1">
      <alignment horizontal="center"/>
    </xf>
    <xf numFmtId="0" fontId="21" fillId="0" borderId="0" xfId="0" applyFont="1" applyAlignment="1">
      <alignment horizontal="left"/>
    </xf>
    <xf numFmtId="10" fontId="0" fillId="0" borderId="0" xfId="1" applyNumberFormat="1" applyFont="1" applyAlignment="1">
      <alignment horizontal="center"/>
    </xf>
    <xf numFmtId="165" fontId="0" fillId="0" borderId="0" xfId="0" applyNumberFormat="1" applyAlignment="1">
      <alignment horizontal="center"/>
    </xf>
    <xf numFmtId="164" fontId="0" fillId="0" borderId="0" xfId="0" applyNumberFormat="1"/>
    <xf numFmtId="1" fontId="0" fillId="0" borderId="0" xfId="0" applyNumberFormat="1" applyAlignment="1" applyProtection="1">
      <alignment horizontal="center"/>
      <protection locked="0"/>
    </xf>
    <xf numFmtId="0" fontId="14" fillId="0" borderId="0" xfId="0" applyFont="1"/>
    <xf numFmtId="10" fontId="20" fillId="0" borderId="0" xfId="1" applyNumberFormat="1" applyFont="1" applyBorder="1" applyAlignment="1" applyProtection="1">
      <alignment horizontal="center"/>
    </xf>
    <xf numFmtId="165" fontId="0" fillId="0" borderId="0" xfId="1" applyNumberFormat="1" applyFont="1" applyFill="1" applyAlignment="1">
      <alignment horizontal="center"/>
    </xf>
    <xf numFmtId="168" fontId="0" fillId="0" borderId="0" xfId="0" applyNumberFormat="1" applyAlignment="1">
      <alignment horizontal="center"/>
    </xf>
    <xf numFmtId="165" fontId="0" fillId="0" borderId="0" xfId="1" applyNumberFormat="1" applyFont="1" applyProtection="1"/>
    <xf numFmtId="8" fontId="0" fillId="0" borderId="0" xfId="0" applyNumberFormat="1"/>
    <xf numFmtId="0" fontId="0" fillId="0" borderId="13" xfId="0" applyBorder="1"/>
    <xf numFmtId="0" fontId="0" fillId="0" borderId="15" xfId="0" applyBorder="1"/>
    <xf numFmtId="0" fontId="0" fillId="0" borderId="16" xfId="0" applyBorder="1"/>
    <xf numFmtId="1" fontId="0" fillId="0" borderId="0" xfId="1" applyNumberFormat="1" applyFont="1" applyAlignment="1" applyProtection="1">
      <alignment horizontal="center"/>
      <protection locked="0"/>
    </xf>
    <xf numFmtId="0" fontId="12" fillId="0" borderId="0" xfId="0" applyFont="1"/>
    <xf numFmtId="10" fontId="20" fillId="0" borderId="14" xfId="1" applyNumberFormat="1" applyFont="1" applyBorder="1" applyAlignment="1" applyProtection="1">
      <alignment horizontal="center"/>
      <protection locked="0"/>
    </xf>
    <xf numFmtId="0" fontId="0" fillId="0" borderId="14" xfId="0" applyBorder="1" applyProtection="1">
      <protection locked="0"/>
    </xf>
    <xf numFmtId="0" fontId="20" fillId="0" borderId="14" xfId="0" applyFont="1" applyBorder="1" applyAlignment="1" applyProtection="1">
      <alignment horizontal="center"/>
      <protection locked="0"/>
    </xf>
    <xf numFmtId="165" fontId="20" fillId="0" borderId="14" xfId="1" applyNumberFormat="1" applyFont="1" applyBorder="1" applyAlignment="1" applyProtection="1">
      <alignment horizontal="center"/>
      <protection locked="0"/>
    </xf>
    <xf numFmtId="168" fontId="20" fillId="0" borderId="17" xfId="0" applyNumberFormat="1" applyFont="1" applyBorder="1" applyAlignment="1" applyProtection="1">
      <alignment horizontal="center"/>
      <protection locked="0"/>
    </xf>
    <xf numFmtId="164" fontId="0" fillId="0" borderId="0" xfId="0" applyNumberFormat="1" applyAlignment="1" applyProtection="1">
      <alignment horizontal="left"/>
      <protection locked="0"/>
    </xf>
    <xf numFmtId="0" fontId="0" fillId="0" borderId="0" xfId="0" applyAlignment="1">
      <alignment vertical="center"/>
    </xf>
    <xf numFmtId="165" fontId="0" fillId="0" borderId="0" xfId="1" applyNumberFormat="1" applyFont="1" applyAlignment="1" applyProtection="1">
      <alignment horizontal="center" vertical="center"/>
    </xf>
    <xf numFmtId="164" fontId="0" fillId="0" borderId="0" xfId="0" applyNumberFormat="1" applyAlignment="1">
      <alignment horizontal="center" vertical="center"/>
    </xf>
    <xf numFmtId="0" fontId="21" fillId="0" borderId="0" xfId="0" applyFont="1" applyAlignment="1" applyProtection="1">
      <alignment horizontal="center"/>
      <protection locked="0"/>
    </xf>
    <xf numFmtId="0" fontId="0" fillId="0" borderId="0" xfId="0" applyAlignment="1" applyProtection="1">
      <alignment vertical="center"/>
      <protection locked="0"/>
    </xf>
    <xf numFmtId="0" fontId="10" fillId="0" borderId="0" xfId="0" applyFont="1" applyAlignment="1" applyProtection="1">
      <alignment vertical="center"/>
      <protection locked="0"/>
    </xf>
    <xf numFmtId="0" fontId="10" fillId="0" borderId="0" xfId="0" applyFont="1" applyAlignment="1" applyProtection="1">
      <alignment horizontal="center" vertical="center"/>
      <protection locked="0"/>
    </xf>
    <xf numFmtId="164" fontId="10" fillId="0" borderId="0" xfId="0" applyNumberFormat="1" applyFont="1" applyAlignment="1" applyProtection="1">
      <alignment horizontal="center" vertical="center"/>
      <protection locked="0"/>
    </xf>
    <xf numFmtId="0" fontId="10"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0" fillId="0" borderId="0" xfId="0" applyAlignment="1" applyProtection="1">
      <alignment horizontal="center" vertical="center"/>
      <protection locked="0"/>
    </xf>
    <xf numFmtId="164" fontId="10" fillId="0" borderId="0" xfId="0" applyNumberFormat="1" applyFont="1" applyAlignment="1">
      <alignment horizontal="center" vertical="center"/>
    </xf>
    <xf numFmtId="0" fontId="12" fillId="0" borderId="0" xfId="0" applyFont="1" applyAlignment="1">
      <alignment vertical="center"/>
    </xf>
    <xf numFmtId="164" fontId="12" fillId="0" borderId="0" xfId="0" applyNumberFormat="1" applyFont="1" applyAlignment="1">
      <alignment horizontal="center" vertical="center"/>
    </xf>
    <xf numFmtId="9" fontId="10" fillId="0" borderId="0" xfId="0" applyNumberFormat="1" applyFont="1" applyAlignment="1" applyProtection="1">
      <alignment horizontal="center" vertical="center"/>
      <protection locked="0"/>
    </xf>
    <xf numFmtId="0" fontId="12" fillId="0" borderId="1" xfId="0" applyFont="1" applyBorder="1" applyAlignment="1">
      <alignment horizontal="center"/>
    </xf>
    <xf numFmtId="165" fontId="12" fillId="0" borderId="1" xfId="1" applyNumberFormat="1" applyFont="1" applyBorder="1" applyAlignment="1">
      <alignment horizontal="center"/>
    </xf>
    <xf numFmtId="3" fontId="12" fillId="0" borderId="1" xfId="0" applyNumberFormat="1" applyFont="1" applyBorder="1" applyAlignment="1">
      <alignment horizontal="center"/>
    </xf>
    <xf numFmtId="164" fontId="12" fillId="0" borderId="1" xfId="0" applyNumberFormat="1" applyFont="1" applyBorder="1" applyAlignment="1">
      <alignment horizontal="center"/>
    </xf>
    <xf numFmtId="0" fontId="23" fillId="0" borderId="5" xfId="0" applyFont="1" applyBorder="1" applyAlignment="1">
      <alignment horizontal="center"/>
    </xf>
    <xf numFmtId="0" fontId="23" fillId="0" borderId="0" xfId="0" applyFont="1" applyAlignment="1">
      <alignment horizontal="center"/>
    </xf>
    <xf numFmtId="0" fontId="23" fillId="0" borderId="6" xfId="0" applyFont="1" applyBorder="1" applyAlignment="1">
      <alignment horizontal="center"/>
    </xf>
    <xf numFmtId="0" fontId="12" fillId="0" borderId="18" xfId="0" applyFont="1" applyBorder="1" applyAlignment="1">
      <alignment horizontal="center"/>
    </xf>
    <xf numFmtId="1" fontId="12" fillId="0" borderId="1" xfId="0" applyNumberFormat="1" applyFont="1" applyBorder="1" applyAlignment="1">
      <alignment horizontal="center"/>
    </xf>
    <xf numFmtId="169" fontId="12" fillId="0" borderId="1" xfId="0" applyNumberFormat="1" applyFont="1" applyBorder="1" applyAlignment="1">
      <alignment horizontal="center"/>
    </xf>
    <xf numFmtId="0" fontId="0" fillId="0" borderId="5" xfId="0" applyBorder="1" applyAlignment="1" applyProtection="1">
      <alignment horizontal="center"/>
      <protection locked="0"/>
    </xf>
    <xf numFmtId="165" fontId="0" fillId="0" borderId="0" xfId="1"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167" fontId="0" fillId="0" borderId="6" xfId="0" applyNumberFormat="1" applyBorder="1" applyAlignment="1">
      <alignment horizontal="center"/>
    </xf>
    <xf numFmtId="167" fontId="12" fillId="0" borderId="19" xfId="0" applyNumberFormat="1" applyFont="1" applyBorder="1" applyAlignment="1">
      <alignment horizontal="center"/>
    </xf>
    <xf numFmtId="166" fontId="0" fillId="0" borderId="6" xfId="0" applyNumberFormat="1" applyBorder="1" applyAlignment="1">
      <alignment horizontal="center"/>
    </xf>
    <xf numFmtId="166" fontId="12" fillId="0" borderId="19" xfId="0" applyNumberFormat="1" applyFont="1" applyBorder="1" applyAlignment="1">
      <alignment horizontal="center"/>
    </xf>
    <xf numFmtId="170" fontId="0" fillId="0" borderId="0" xfId="0" applyNumberFormat="1" applyAlignment="1" applyProtection="1">
      <alignment horizontal="center"/>
      <protection locked="0"/>
    </xf>
    <xf numFmtId="170" fontId="12" fillId="0" borderId="1" xfId="0" applyNumberFormat="1" applyFont="1" applyBorder="1" applyAlignment="1">
      <alignment horizontal="center"/>
    </xf>
    <xf numFmtId="2" fontId="0" fillId="0" borderId="0" xfId="0" applyNumberFormat="1" applyAlignment="1" applyProtection="1">
      <alignment horizontal="center"/>
      <protection locked="0"/>
    </xf>
    <xf numFmtId="1" fontId="12" fillId="0" borderId="0" xfId="0" applyNumberFormat="1" applyFont="1" applyAlignment="1">
      <alignment horizontal="center"/>
    </xf>
    <xf numFmtId="3" fontId="12" fillId="0" borderId="0" xfId="0" applyNumberFormat="1" applyFont="1" applyAlignment="1">
      <alignment horizontal="center"/>
    </xf>
    <xf numFmtId="2" fontId="12" fillId="0" borderId="0" xfId="0" applyNumberFormat="1" applyFont="1" applyAlignment="1">
      <alignment horizontal="center"/>
    </xf>
    <xf numFmtId="169" fontId="12" fillId="0" borderId="0" xfId="0" applyNumberFormat="1" applyFont="1" applyAlignment="1">
      <alignment horizontal="center"/>
    </xf>
    <xf numFmtId="164" fontId="12" fillId="0" borderId="0" xfId="0" applyNumberFormat="1" applyFont="1" applyAlignment="1">
      <alignment horizontal="center"/>
    </xf>
    <xf numFmtId="0" fontId="28" fillId="0" borderId="0" xfId="0" applyFont="1"/>
    <xf numFmtId="171" fontId="0" fillId="0" borderId="0" xfId="0" applyNumberFormat="1" applyAlignment="1">
      <alignment horizontal="center"/>
    </xf>
    <xf numFmtId="172" fontId="0" fillId="0" borderId="0" xfId="0" applyNumberFormat="1" applyAlignment="1">
      <alignment horizontal="center"/>
    </xf>
    <xf numFmtId="165" fontId="0" fillId="0" borderId="0" xfId="1" applyNumberFormat="1" applyFont="1" applyFill="1" applyAlignment="1" applyProtection="1">
      <alignment horizontal="center"/>
    </xf>
    <xf numFmtId="0" fontId="30" fillId="0" borderId="20" xfId="0" applyFont="1" applyBorder="1"/>
    <xf numFmtId="0" fontId="0" fillId="0" borderId="20" xfId="0" applyBorder="1"/>
    <xf numFmtId="10" fontId="0" fillId="0" borderId="0" xfId="1" applyNumberFormat="1" applyFont="1" applyFill="1" applyAlignment="1" applyProtection="1">
      <alignment horizontal="center"/>
    </xf>
    <xf numFmtId="164" fontId="21" fillId="0" borderId="0" xfId="0" applyNumberFormat="1" applyFont="1" applyAlignment="1">
      <alignment horizontal="center"/>
    </xf>
    <xf numFmtId="165" fontId="21" fillId="0" borderId="0" xfId="1" applyNumberFormat="1" applyFont="1" applyBorder="1" applyAlignment="1" applyProtection="1">
      <alignment horizontal="center"/>
    </xf>
    <xf numFmtId="164" fontId="24" fillId="2" borderId="0" xfId="0" applyNumberFormat="1" applyFont="1" applyFill="1" applyAlignment="1">
      <alignment horizontal="center"/>
    </xf>
    <xf numFmtId="165" fontId="24" fillId="2" borderId="0" xfId="1" applyNumberFormat="1" applyFont="1" applyFill="1" applyBorder="1" applyAlignment="1" applyProtection="1">
      <alignment horizontal="center"/>
    </xf>
    <xf numFmtId="165" fontId="0" fillId="0" borderId="0" xfId="1" applyNumberFormat="1" applyFont="1" applyBorder="1" applyAlignment="1" applyProtection="1">
      <alignment horizontal="center" vertical="center"/>
    </xf>
    <xf numFmtId="168" fontId="0" fillId="0" borderId="0" xfId="1" applyNumberFormat="1" applyFont="1" applyBorder="1" applyAlignment="1" applyProtection="1">
      <alignment horizontal="center"/>
    </xf>
    <xf numFmtId="9" fontId="0" fillId="0" borderId="0" xfId="0" applyNumberFormat="1" applyAlignment="1">
      <alignment horizontal="center"/>
    </xf>
    <xf numFmtId="1" fontId="21" fillId="0" borderId="0" xfId="0" applyNumberFormat="1" applyFont="1" applyAlignment="1">
      <alignment horizontal="center"/>
    </xf>
    <xf numFmtId="165" fontId="0" fillId="0" borderId="0" xfId="1" applyNumberFormat="1" applyFont="1" applyFill="1" applyBorder="1" applyAlignment="1" applyProtection="1">
      <alignment horizontal="center"/>
    </xf>
    <xf numFmtId="10" fontId="0" fillId="0" borderId="0" xfId="1" applyNumberFormat="1" applyFont="1" applyFill="1" applyBorder="1" applyAlignment="1" applyProtection="1">
      <alignment horizontal="center"/>
    </xf>
    <xf numFmtId="1" fontId="0" fillId="0" borderId="0" xfId="0" applyNumberFormat="1" applyAlignment="1">
      <alignment horizontal="center"/>
    </xf>
    <xf numFmtId="9" fontId="0" fillId="0" borderId="0" xfId="1" applyFont="1" applyFill="1" applyBorder="1" applyAlignment="1" applyProtection="1">
      <alignment horizontal="center"/>
    </xf>
    <xf numFmtId="0" fontId="10" fillId="4" borderId="0" xfId="0" applyFont="1" applyFill="1" applyAlignment="1" applyProtection="1">
      <alignment vertical="center"/>
      <protection locked="0"/>
    </xf>
    <xf numFmtId="0" fontId="10" fillId="4" borderId="0" xfId="0" applyFont="1" applyFill="1" applyAlignment="1" applyProtection="1">
      <alignment horizontal="center" vertical="center"/>
      <protection locked="0"/>
    </xf>
    <xf numFmtId="164" fontId="10" fillId="4" borderId="0" xfId="0" applyNumberFormat="1" applyFont="1" applyFill="1" applyAlignment="1" applyProtection="1">
      <alignment horizontal="center" vertical="center"/>
      <protection locked="0"/>
    </xf>
    <xf numFmtId="0" fontId="10" fillId="4" borderId="0" xfId="0" applyFont="1" applyFill="1" applyAlignment="1" applyProtection="1">
      <alignment vertical="center" wrapText="1"/>
      <protection locked="0"/>
    </xf>
    <xf numFmtId="164" fontId="10" fillId="4" borderId="0" xfId="0" applyNumberFormat="1" applyFont="1" applyFill="1" applyAlignment="1">
      <alignment horizontal="center" vertical="center"/>
    </xf>
    <xf numFmtId="0" fontId="0" fillId="4" borderId="0" xfId="0" applyFill="1" applyAlignment="1" applyProtection="1">
      <alignment vertical="center" wrapText="1"/>
      <protection locked="0"/>
    </xf>
    <xf numFmtId="0" fontId="0" fillId="0" borderId="20" xfId="0" applyBorder="1" applyAlignment="1">
      <alignment vertical="center"/>
    </xf>
    <xf numFmtId="0" fontId="0" fillId="0" borderId="20" xfId="0" applyBorder="1" applyAlignment="1" applyProtection="1">
      <alignment vertical="center"/>
      <protection locked="0"/>
    </xf>
    <xf numFmtId="0" fontId="29" fillId="0" borderId="20" xfId="0" applyFont="1" applyBorder="1" applyAlignment="1" applyProtection="1">
      <alignment vertical="center"/>
      <protection locked="0"/>
    </xf>
    <xf numFmtId="0" fontId="0" fillId="4" borderId="0" xfId="0" applyFill="1" applyAlignment="1" applyProtection="1">
      <alignment horizontal="center" vertical="center"/>
      <protection locked="0"/>
    </xf>
    <xf numFmtId="0" fontId="0" fillId="4" borderId="0" xfId="0" applyFill="1" applyAlignment="1" applyProtection="1">
      <alignment vertical="center"/>
      <protection locked="0"/>
    </xf>
    <xf numFmtId="0" fontId="23" fillId="2" borderId="0" xfId="0" applyFont="1" applyFill="1" applyAlignment="1">
      <alignment vertical="center"/>
    </xf>
    <xf numFmtId="164" fontId="23" fillId="2" borderId="0" xfId="0" applyNumberFormat="1" applyFont="1" applyFill="1" applyAlignment="1">
      <alignment horizontal="center" vertical="center"/>
    </xf>
    <xf numFmtId="0" fontId="33" fillId="2" borderId="0" xfId="0" applyFont="1" applyFill="1" applyAlignment="1" applyProtection="1">
      <alignment horizontal="center" vertical="center"/>
      <protection locked="0"/>
    </xf>
    <xf numFmtId="16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vertical="center"/>
      <protection locked="0"/>
    </xf>
    <xf numFmtId="0" fontId="26" fillId="0" borderId="0" xfId="0" applyFont="1"/>
    <xf numFmtId="0" fontId="26" fillId="0" borderId="0" xfId="0" applyFont="1" applyAlignment="1">
      <alignment horizontal="center"/>
    </xf>
    <xf numFmtId="0" fontId="10" fillId="2" borderId="0" xfId="0" applyFont="1" applyFill="1" applyAlignment="1">
      <alignment horizontal="center" vertical="center"/>
    </xf>
    <xf numFmtId="164" fontId="10" fillId="2" borderId="0" xfId="0" applyNumberFormat="1" applyFont="1" applyFill="1" applyAlignment="1">
      <alignment horizontal="center" vertical="center"/>
    </xf>
    <xf numFmtId="0" fontId="10" fillId="2" borderId="0" xfId="0" applyFont="1" applyFill="1" applyAlignment="1">
      <alignment vertical="center"/>
    </xf>
    <xf numFmtId="0" fontId="14" fillId="0" borderId="20" xfId="0" applyFont="1" applyBorder="1"/>
    <xf numFmtId="0" fontId="0" fillId="2" borderId="7" xfId="0" applyFill="1" applyBorder="1" applyAlignment="1" applyProtection="1">
      <alignment horizontal="center"/>
      <protection locked="0"/>
    </xf>
    <xf numFmtId="0" fontId="0" fillId="2" borderId="8" xfId="0" applyFill="1" applyBorder="1" applyAlignment="1" applyProtection="1">
      <alignment horizontal="center"/>
      <protection locked="0"/>
    </xf>
    <xf numFmtId="3" fontId="0" fillId="2" borderId="8" xfId="0" applyNumberFormat="1" applyFill="1" applyBorder="1" applyAlignment="1" applyProtection="1">
      <alignment horizontal="center"/>
      <protection locked="0"/>
    </xf>
    <xf numFmtId="164" fontId="0" fillId="2" borderId="8" xfId="0" applyNumberFormat="1" applyFill="1" applyBorder="1" applyAlignment="1" applyProtection="1">
      <alignment horizontal="center"/>
      <protection locked="0"/>
    </xf>
    <xf numFmtId="164" fontId="0" fillId="2" borderId="8" xfId="0" applyNumberFormat="1" applyFill="1" applyBorder="1" applyAlignment="1">
      <alignment horizontal="center"/>
    </xf>
    <xf numFmtId="167" fontId="0" fillId="2" borderId="9" xfId="0" applyNumberFormat="1" applyFill="1" applyBorder="1" applyAlignment="1">
      <alignment horizontal="center"/>
    </xf>
    <xf numFmtId="165" fontId="0" fillId="2" borderId="8" xfId="1" applyNumberFormat="1" applyFont="1" applyFill="1" applyBorder="1" applyAlignment="1" applyProtection="1">
      <alignment horizontal="center"/>
      <protection locked="0"/>
    </xf>
    <xf numFmtId="166" fontId="0" fillId="2" borderId="9" xfId="0" applyNumberFormat="1" applyFill="1" applyBorder="1" applyAlignment="1">
      <alignment horizontal="center"/>
    </xf>
    <xf numFmtId="0" fontId="0" fillId="2" borderId="5" xfId="0" applyFill="1" applyBorder="1" applyAlignment="1" applyProtection="1">
      <alignment horizontal="center"/>
      <protection locked="0"/>
    </xf>
    <xf numFmtId="0" fontId="0" fillId="2" borderId="0" xfId="0" applyFill="1" applyAlignment="1" applyProtection="1">
      <alignment horizontal="center"/>
      <protection locked="0"/>
    </xf>
    <xf numFmtId="165" fontId="0" fillId="2" borderId="0" xfId="1" applyNumberFormat="1" applyFont="1" applyFill="1" applyBorder="1" applyAlignment="1" applyProtection="1">
      <alignment horizontal="center"/>
      <protection locked="0"/>
    </xf>
    <xf numFmtId="3" fontId="0" fillId="2" borderId="0" xfId="0" applyNumberFormat="1" applyFill="1" applyAlignment="1" applyProtection="1">
      <alignment horizontal="center"/>
      <protection locked="0"/>
    </xf>
    <xf numFmtId="164" fontId="0" fillId="2" borderId="0" xfId="0" applyNumberFormat="1" applyFill="1" applyAlignment="1" applyProtection="1">
      <alignment horizontal="center"/>
      <protection locked="0"/>
    </xf>
    <xf numFmtId="166" fontId="0" fillId="2" borderId="6" xfId="0" applyNumberFormat="1" applyFill="1" applyBorder="1" applyAlignment="1">
      <alignment horizontal="center"/>
    </xf>
    <xf numFmtId="0" fontId="0" fillId="0" borderId="22" xfId="0" applyBorder="1" applyAlignment="1" applyProtection="1">
      <alignment horizontal="center"/>
      <protection locked="0"/>
    </xf>
    <xf numFmtId="0" fontId="23" fillId="0" borderId="23" xfId="0" applyFont="1" applyBorder="1" applyAlignment="1">
      <alignment horizontal="center"/>
    </xf>
    <xf numFmtId="0" fontId="0" fillId="0" borderId="24" xfId="0" applyBorder="1" applyAlignment="1" applyProtection="1">
      <alignment horizontal="center"/>
      <protection locked="0"/>
    </xf>
    <xf numFmtId="0" fontId="0" fillId="0" borderId="25" xfId="0" applyBorder="1" applyAlignment="1" applyProtection="1">
      <alignment horizontal="center"/>
      <protection locked="0"/>
    </xf>
    <xf numFmtId="3" fontId="0" fillId="0" borderId="25" xfId="0" applyNumberFormat="1" applyBorder="1" applyAlignment="1" applyProtection="1">
      <alignment horizontal="center"/>
      <protection locked="0"/>
    </xf>
    <xf numFmtId="2" fontId="0" fillId="0" borderId="25" xfId="0" applyNumberFormat="1" applyBorder="1" applyAlignment="1" applyProtection="1">
      <alignment horizontal="center"/>
      <protection locked="0"/>
    </xf>
    <xf numFmtId="169" fontId="0" fillId="0" borderId="25" xfId="0" applyNumberFormat="1" applyBorder="1" applyAlignment="1" applyProtection="1">
      <alignment horizontal="center"/>
      <protection locked="0"/>
    </xf>
    <xf numFmtId="164" fontId="0" fillId="0" borderId="23" xfId="0" applyNumberFormat="1" applyBorder="1" applyAlignment="1" applyProtection="1">
      <alignment horizontal="center"/>
      <protection locked="0"/>
    </xf>
    <xf numFmtId="164" fontId="0" fillId="0" borderId="26" xfId="0" applyNumberFormat="1" applyBorder="1" applyAlignment="1" applyProtection="1">
      <alignment horizontal="center"/>
      <protection locked="0"/>
    </xf>
    <xf numFmtId="0" fontId="34" fillId="0" borderId="27" xfId="0" applyFont="1" applyBorder="1" applyAlignment="1">
      <alignment horizontal="center"/>
    </xf>
    <xf numFmtId="9" fontId="36" fillId="0" borderId="0" xfId="1" applyFont="1" applyBorder="1" applyAlignment="1" applyProtection="1">
      <alignment horizontal="center" vertical="center"/>
    </xf>
    <xf numFmtId="164" fontId="0" fillId="4" borderId="0" xfId="0" applyNumberFormat="1" applyFill="1" applyAlignment="1">
      <alignment horizontal="center"/>
    </xf>
    <xf numFmtId="165" fontId="35" fillId="4" borderId="0" xfId="1" applyNumberFormat="1" applyFont="1" applyFill="1" applyBorder="1" applyAlignment="1" applyProtection="1">
      <alignment horizontal="center"/>
    </xf>
    <xf numFmtId="0" fontId="30" fillId="0" borderId="20" xfId="0" applyFont="1" applyBorder="1" applyAlignment="1">
      <alignment vertical="center"/>
    </xf>
    <xf numFmtId="0" fontId="19" fillId="0" borderId="5" xfId="0" applyFont="1" applyBorder="1" applyAlignment="1">
      <alignment horizontal="center"/>
    </xf>
    <xf numFmtId="0" fontId="24" fillId="0" borderId="0" xfId="0" applyFont="1"/>
    <xf numFmtId="0" fontId="0" fillId="0" borderId="5" xfId="0" applyBorder="1"/>
    <xf numFmtId="10" fontId="12" fillId="0" borderId="0" xfId="1" applyNumberFormat="1" applyFont="1" applyFill="1" applyBorder="1" applyAlignment="1">
      <alignment horizontal="center" vertical="center"/>
    </xf>
    <xf numFmtId="10" fontId="23" fillId="0" borderId="0" xfId="1" applyNumberFormat="1" applyFont="1" applyFill="1" applyBorder="1" applyAlignment="1">
      <alignment horizontal="center" vertical="center"/>
    </xf>
    <xf numFmtId="10" fontId="12" fillId="0" borderId="6" xfId="0" applyNumberFormat="1" applyFont="1" applyBorder="1" applyAlignment="1">
      <alignment horizontal="center" vertical="center"/>
    </xf>
    <xf numFmtId="165" fontId="23" fillId="0" borderId="0" xfId="1" applyNumberFormat="1" applyFont="1" applyFill="1" applyBorder="1" applyAlignment="1">
      <alignment horizontal="center" vertical="center"/>
    </xf>
    <xf numFmtId="10" fontId="12" fillId="0" borderId="8" xfId="1" applyNumberFormat="1" applyFont="1" applyFill="1" applyBorder="1" applyAlignment="1">
      <alignment horizontal="center" vertical="center"/>
    </xf>
    <xf numFmtId="165" fontId="0" fillId="4" borderId="0" xfId="1" applyNumberFormat="1" applyFont="1" applyFill="1" applyBorder="1" applyAlignment="1">
      <alignment horizontal="center" vertical="center"/>
    </xf>
    <xf numFmtId="165" fontId="0" fillId="4" borderId="6" xfId="1" applyNumberFormat="1" applyFont="1" applyFill="1" applyBorder="1" applyAlignment="1" applyProtection="1">
      <alignment horizontal="center" vertical="center"/>
    </xf>
    <xf numFmtId="165" fontId="10" fillId="4" borderId="0" xfId="1" applyNumberFormat="1" applyFont="1" applyFill="1" applyBorder="1" applyAlignment="1">
      <alignment horizontal="center" vertical="center"/>
    </xf>
    <xf numFmtId="165" fontId="23" fillId="4" borderId="0" xfId="1" applyNumberFormat="1" applyFont="1" applyFill="1" applyBorder="1" applyAlignment="1">
      <alignment horizontal="center" vertical="center"/>
    </xf>
    <xf numFmtId="165" fontId="0" fillId="4" borderId="8" xfId="1" applyNumberFormat="1" applyFont="1" applyFill="1" applyBorder="1" applyAlignment="1">
      <alignment horizontal="center" vertical="center"/>
    </xf>
    <xf numFmtId="165" fontId="0" fillId="4" borderId="9" xfId="1" applyNumberFormat="1" applyFont="1" applyFill="1" applyBorder="1" applyAlignment="1" applyProtection="1">
      <alignment horizontal="center" vertical="center"/>
    </xf>
    <xf numFmtId="165" fontId="13" fillId="0" borderId="0" xfId="1" applyNumberFormat="1" applyFont="1" applyFill="1" applyBorder="1" applyAlignment="1">
      <alignment horizontal="center"/>
    </xf>
    <xf numFmtId="0" fontId="12" fillId="0" borderId="0" xfId="1" applyNumberFormat="1" applyFont="1" applyFill="1" applyBorder="1" applyAlignment="1">
      <alignment horizontal="center" vertical="center"/>
    </xf>
    <xf numFmtId="0" fontId="12" fillId="0" borderId="6" xfId="0" applyFont="1" applyBorder="1" applyAlignment="1">
      <alignment horizontal="center" vertical="center"/>
    </xf>
    <xf numFmtId="165" fontId="0" fillId="4" borderId="0" xfId="1" applyNumberFormat="1" applyFont="1" applyFill="1" applyBorder="1" applyAlignment="1" applyProtection="1">
      <alignment horizontal="center"/>
    </xf>
    <xf numFmtId="165" fontId="12" fillId="0" borderId="0" xfId="1" applyNumberFormat="1" applyFont="1" applyFill="1" applyBorder="1" applyAlignment="1">
      <alignment horizontal="center" vertical="center"/>
    </xf>
    <xf numFmtId="1" fontId="23" fillId="0" borderId="0" xfId="1" applyNumberFormat="1" applyFont="1" applyFill="1" applyBorder="1" applyAlignment="1">
      <alignment horizontal="center" vertical="center"/>
    </xf>
    <xf numFmtId="0" fontId="0" fillId="0" borderId="5" xfId="0" applyBorder="1" applyAlignment="1">
      <alignment horizontal="left"/>
    </xf>
    <xf numFmtId="10" fontId="21" fillId="0" borderId="6" xfId="1" applyNumberFormat="1" applyFont="1" applyFill="1" applyBorder="1" applyAlignment="1" applyProtection="1">
      <alignment horizontal="center"/>
    </xf>
    <xf numFmtId="165" fontId="21" fillId="0" borderId="6" xfId="1" applyNumberFormat="1" applyFont="1" applyFill="1" applyBorder="1" applyAlignment="1" applyProtection="1">
      <alignment horizontal="center"/>
    </xf>
    <xf numFmtId="0" fontId="0" fillId="0" borderId="7" xfId="0" applyBorder="1" applyAlignment="1">
      <alignment horizontal="left"/>
    </xf>
    <xf numFmtId="0" fontId="0" fillId="0" borderId="8" xfId="0" applyBorder="1"/>
    <xf numFmtId="0" fontId="0" fillId="0" borderId="9" xfId="0" applyBorder="1"/>
    <xf numFmtId="0" fontId="0" fillId="0" borderId="7" xfId="0" applyBorder="1"/>
    <xf numFmtId="0" fontId="12" fillId="4" borderId="5" xfId="0" applyFont="1" applyFill="1" applyBorder="1" applyAlignment="1">
      <alignment horizontal="center"/>
    </xf>
    <xf numFmtId="0" fontId="0" fillId="4" borderId="5" xfId="0" applyFill="1" applyBorder="1"/>
    <xf numFmtId="165" fontId="0" fillId="4" borderId="0" xfId="0" applyNumberFormat="1" applyFill="1" applyAlignment="1">
      <alignment horizontal="center"/>
    </xf>
    <xf numFmtId="165" fontId="0" fillId="0" borderId="6" xfId="1" applyNumberFormat="1" applyFont="1" applyFill="1" applyBorder="1" applyAlignment="1" applyProtection="1">
      <alignment horizontal="center"/>
    </xf>
    <xf numFmtId="165" fontId="0" fillId="0" borderId="8" xfId="1" applyNumberFormat="1" applyFont="1" applyFill="1" applyBorder="1" applyAlignment="1" applyProtection="1">
      <alignment horizontal="center"/>
    </xf>
    <xf numFmtId="165" fontId="0" fillId="0" borderId="9" xfId="1" applyNumberFormat="1" applyFont="1" applyFill="1" applyBorder="1" applyAlignment="1" applyProtection="1">
      <alignment horizontal="center"/>
    </xf>
    <xf numFmtId="0" fontId="21" fillId="0" borderId="0" xfId="0" applyFont="1" applyAlignment="1">
      <alignment horizontal="center"/>
    </xf>
    <xf numFmtId="165" fontId="21" fillId="0" borderId="0" xfId="1" applyNumberFormat="1" applyFont="1" applyFill="1" applyBorder="1" applyAlignment="1" applyProtection="1">
      <alignment horizontal="center"/>
    </xf>
    <xf numFmtId="0" fontId="40" fillId="0" borderId="30" xfId="0" applyFont="1" applyBorder="1"/>
    <xf numFmtId="173" fontId="21" fillId="0" borderId="6" xfId="0" applyNumberFormat="1" applyFont="1" applyBorder="1" applyAlignment="1">
      <alignment horizontal="center"/>
    </xf>
    <xf numFmtId="168" fontId="0" fillId="0" borderId="8" xfId="0" applyNumberFormat="1" applyBorder="1" applyAlignment="1">
      <alignment horizontal="center"/>
    </xf>
    <xf numFmtId="168" fontId="0" fillId="0" borderId="0" xfId="1" applyNumberFormat="1" applyFont="1" applyFill="1" applyBorder="1" applyAlignment="1" applyProtection="1">
      <alignment horizontal="center"/>
    </xf>
    <xf numFmtId="171" fontId="21" fillId="0" borderId="6" xfId="0" applyNumberFormat="1" applyFont="1" applyBorder="1" applyAlignment="1">
      <alignment horizontal="center"/>
    </xf>
    <xf numFmtId="0" fontId="12" fillId="0" borderId="6" xfId="0" applyFont="1" applyBorder="1" applyAlignment="1">
      <alignment horizontal="center"/>
    </xf>
    <xf numFmtId="1" fontId="20" fillId="0" borderId="0" xfId="0" applyNumberFormat="1" applyFont="1" applyAlignment="1" applyProtection="1">
      <alignment horizontal="center"/>
      <protection locked="0"/>
    </xf>
    <xf numFmtId="9" fontId="0" fillId="0" borderId="0" xfId="1" applyFont="1" applyBorder="1" applyAlignment="1" applyProtection="1">
      <alignment horizontal="center"/>
      <protection locked="0"/>
    </xf>
    <xf numFmtId="10" fontId="0" fillId="0" borderId="0" xfId="0" applyNumberFormat="1"/>
    <xf numFmtId="0" fontId="37" fillId="0" borderId="0" xfId="0" applyFont="1" applyAlignment="1">
      <alignment horizontal="center"/>
    </xf>
    <xf numFmtId="164" fontId="0" fillId="0" borderId="0" xfId="1" applyNumberFormat="1" applyFont="1" applyAlignment="1">
      <alignment horizontal="center"/>
    </xf>
    <xf numFmtId="10" fontId="0" fillId="0" borderId="0" xfId="1" applyNumberFormat="1" applyFont="1" applyProtection="1"/>
    <xf numFmtId="172" fontId="10" fillId="4" borderId="0" xfId="0" applyNumberFormat="1" applyFont="1" applyFill="1" applyAlignment="1" applyProtection="1">
      <alignment horizontal="center" vertical="center"/>
      <protection locked="0"/>
    </xf>
    <xf numFmtId="172" fontId="10" fillId="0" borderId="0" xfId="0" applyNumberFormat="1" applyFont="1" applyAlignment="1" applyProtection="1">
      <alignment horizontal="center" vertical="center"/>
      <protection locked="0"/>
    </xf>
    <xf numFmtId="172" fontId="0" fillId="4" borderId="0" xfId="0" applyNumberFormat="1" applyFill="1" applyAlignment="1" applyProtection="1">
      <alignment horizontal="center" vertical="center"/>
      <protection locked="0"/>
    </xf>
    <xf numFmtId="172" fontId="0" fillId="0" borderId="0" xfId="0" applyNumberFormat="1" applyAlignment="1" applyProtection="1">
      <alignment horizontal="center" vertical="center"/>
      <protection locked="0"/>
    </xf>
    <xf numFmtId="9" fontId="0" fillId="0" borderId="8" xfId="1" applyFont="1" applyFill="1" applyBorder="1" applyAlignment="1" applyProtection="1">
      <alignment horizontal="center"/>
    </xf>
    <xf numFmtId="0" fontId="19" fillId="3" borderId="0" xfId="0" applyFont="1" applyFill="1" applyAlignment="1" applyProtection="1">
      <alignment horizontal="center"/>
      <protection locked="0"/>
    </xf>
    <xf numFmtId="0" fontId="35" fillId="0" borderId="0" xfId="0" applyFont="1" applyAlignment="1" applyProtection="1">
      <alignment horizontal="center" vertical="center" wrapText="1"/>
      <protection locked="0"/>
    </xf>
    <xf numFmtId="0" fontId="30" fillId="0" borderId="20" xfId="0" applyFont="1" applyBorder="1" applyProtection="1">
      <protection locked="0"/>
    </xf>
    <xf numFmtId="0" fontId="42" fillId="0" borderId="0" xfId="0" applyFont="1" applyAlignment="1">
      <alignment horizontal="right"/>
    </xf>
    <xf numFmtId="14" fontId="42" fillId="0" borderId="0" xfId="0" applyNumberFormat="1" applyFont="1" applyAlignment="1" applyProtection="1">
      <alignment horizontal="left"/>
      <protection locked="0"/>
    </xf>
    <xf numFmtId="0" fontId="19" fillId="3" borderId="0" xfId="0" applyFont="1" applyFill="1"/>
    <xf numFmtId="0" fontId="24" fillId="0" borderId="0" xfId="0" applyFont="1" applyAlignment="1">
      <alignment horizontal="center"/>
    </xf>
    <xf numFmtId="164" fontId="24" fillId="0" borderId="0" xfId="0" applyNumberFormat="1" applyFont="1" applyAlignment="1">
      <alignment horizontal="center"/>
    </xf>
    <xf numFmtId="165" fontId="24" fillId="0" borderId="0" xfId="1" applyNumberFormat="1" applyFont="1" applyFill="1" applyBorder="1" applyAlignment="1" applyProtection="1">
      <alignment horizontal="center"/>
    </xf>
    <xf numFmtId="0" fontId="0" fillId="0" borderId="0" xfId="0" applyAlignment="1">
      <alignment vertical="top" wrapText="1"/>
    </xf>
    <xf numFmtId="164" fontId="0" fillId="0" borderId="0" xfId="0" applyNumberFormat="1" applyAlignment="1" applyProtection="1">
      <alignment horizontal="center" vertical="center" wrapText="1"/>
      <protection locked="0"/>
    </xf>
    <xf numFmtId="0" fontId="0" fillId="0" borderId="0" xfId="0" applyAlignment="1">
      <alignment horizontal="left" vertical="center" wrapText="1"/>
    </xf>
    <xf numFmtId="165" fontId="0" fillId="0" borderId="0" xfId="0" applyNumberFormat="1" applyAlignment="1" applyProtection="1">
      <alignment horizontal="center" vertical="center" wrapText="1"/>
      <protection locked="0"/>
    </xf>
    <xf numFmtId="0" fontId="0" fillId="0" borderId="0" xfId="0" applyAlignment="1" applyProtection="1">
      <alignment horizontal="center" vertical="center" wrapText="1"/>
      <protection locked="0"/>
    </xf>
    <xf numFmtId="168" fontId="0" fillId="0" borderId="0" xfId="0" applyNumberFormat="1" applyAlignment="1" applyProtection="1">
      <alignment horizontal="center"/>
      <protection locked="0"/>
    </xf>
    <xf numFmtId="174" fontId="0" fillId="0" borderId="0" xfId="1" applyNumberFormat="1" applyFont="1" applyAlignment="1" applyProtection="1">
      <alignment horizontal="center"/>
      <protection locked="0"/>
    </xf>
    <xf numFmtId="0" fontId="43" fillId="0" borderId="0" xfId="0" applyFont="1" applyAlignment="1">
      <alignment horizontal="center"/>
    </xf>
    <xf numFmtId="10" fontId="21" fillId="0" borderId="0" xfId="1" applyNumberFormat="1" applyFont="1" applyBorder="1" applyAlignment="1" applyProtection="1">
      <alignment horizontal="center"/>
    </xf>
    <xf numFmtId="10" fontId="20" fillId="0" borderId="0" xfId="1" applyNumberFormat="1" applyFont="1" applyBorder="1" applyAlignment="1" applyProtection="1">
      <alignment horizontal="center"/>
      <protection locked="0"/>
    </xf>
    <xf numFmtId="165" fontId="21" fillId="0" borderId="0" xfId="1" applyNumberFormat="1" applyFont="1" applyAlignment="1">
      <alignment horizontal="center"/>
    </xf>
    <xf numFmtId="168" fontId="21" fillId="0" borderId="0" xfId="0" applyNumberFormat="1" applyFont="1" applyAlignment="1">
      <alignment horizontal="center"/>
    </xf>
    <xf numFmtId="170" fontId="0" fillId="2" borderId="8" xfId="0" applyNumberFormat="1" applyFill="1" applyBorder="1" applyAlignment="1">
      <alignment horizontal="center"/>
    </xf>
    <xf numFmtId="170" fontId="0" fillId="2" borderId="0" xfId="0" applyNumberFormat="1" applyFill="1" applyAlignment="1">
      <alignment horizontal="center"/>
    </xf>
    <xf numFmtId="169" fontId="0" fillId="2" borderId="8" xfId="0" applyNumberFormat="1" applyFill="1" applyBorder="1" applyAlignment="1">
      <alignment horizontal="center"/>
    </xf>
    <xf numFmtId="0" fontId="0" fillId="2" borderId="8" xfId="0" applyFill="1" applyBorder="1" applyAlignment="1">
      <alignment horizontal="center"/>
    </xf>
    <xf numFmtId="3" fontId="0" fillId="2" borderId="8" xfId="0" applyNumberFormat="1" applyFill="1" applyBorder="1" applyAlignment="1">
      <alignment horizontal="center"/>
    </xf>
    <xf numFmtId="166" fontId="0" fillId="0" borderId="0" xfId="0" applyNumberFormat="1" applyAlignment="1">
      <alignment horizontal="center"/>
    </xf>
    <xf numFmtId="0" fontId="24" fillId="2" borderId="21" xfId="0" applyFont="1" applyFill="1" applyBorder="1" applyAlignment="1">
      <alignment horizontal="center"/>
    </xf>
    <xf numFmtId="0" fontId="24" fillId="2" borderId="0" xfId="0" applyFont="1" applyFill="1" applyAlignment="1">
      <alignment horizontal="center"/>
    </xf>
    <xf numFmtId="0" fontId="21" fillId="0" borderId="21" xfId="0" applyFont="1" applyBorder="1" applyAlignment="1">
      <alignment horizontal="center"/>
    </xf>
    <xf numFmtId="9" fontId="20" fillId="4" borderId="0" xfId="0" applyNumberFormat="1" applyFont="1" applyFill="1" applyAlignment="1" applyProtection="1">
      <alignment horizontal="center"/>
      <protection locked="0"/>
    </xf>
    <xf numFmtId="164" fontId="0" fillId="0" borderId="6" xfId="0" applyNumberFormat="1" applyBorder="1" applyAlignment="1">
      <alignment horizontal="center"/>
    </xf>
    <xf numFmtId="164" fontId="0" fillId="4" borderId="6" xfId="0" applyNumberFormat="1" applyFill="1" applyBorder="1" applyAlignment="1">
      <alignment horizontal="center"/>
    </xf>
    <xf numFmtId="9" fontId="0" fillId="4" borderId="6" xfId="0" applyNumberFormat="1" applyFill="1" applyBorder="1" applyAlignment="1">
      <alignment horizontal="center"/>
    </xf>
    <xf numFmtId="9" fontId="0" fillId="4" borderId="0" xfId="0" applyNumberFormat="1" applyFill="1" applyAlignment="1">
      <alignment horizontal="center"/>
    </xf>
    <xf numFmtId="168" fontId="0" fillId="0" borderId="9" xfId="0" applyNumberFormat="1" applyBorder="1" applyAlignment="1">
      <alignment horizontal="center"/>
    </xf>
    <xf numFmtId="0" fontId="30" fillId="0" borderId="0" xfId="0" applyFont="1"/>
    <xf numFmtId="165" fontId="0" fillId="0" borderId="0" xfId="1" applyNumberFormat="1" applyFont="1" applyAlignment="1">
      <alignment horizontal="center"/>
    </xf>
    <xf numFmtId="176" fontId="0" fillId="0" borderId="0" xfId="0" applyNumberFormat="1" applyAlignment="1">
      <alignment horizontal="center"/>
    </xf>
    <xf numFmtId="10" fontId="0" fillId="0" borderId="0" xfId="1" applyNumberFormat="1" applyFont="1" applyAlignment="1" applyProtection="1">
      <alignment horizontal="center" vertical="center"/>
    </xf>
    <xf numFmtId="0" fontId="44" fillId="0" borderId="0" xfId="0" applyFont="1"/>
    <xf numFmtId="0" fontId="0" fillId="0" borderId="30" xfId="0" applyBorder="1"/>
    <xf numFmtId="0" fontId="0" fillId="0" borderId="30" xfId="0" applyBorder="1" applyAlignment="1">
      <alignment vertical="center"/>
    </xf>
    <xf numFmtId="0" fontId="43" fillId="0" borderId="0" xfId="0" applyFont="1" applyAlignment="1">
      <alignment horizontal="center" vertical="center"/>
    </xf>
    <xf numFmtId="0" fontId="12" fillId="4" borderId="0" xfId="0" applyFont="1" applyFill="1" applyAlignment="1">
      <alignment horizontal="center" vertical="center"/>
    </xf>
    <xf numFmtId="0" fontId="12" fillId="4" borderId="6" xfId="0" applyFont="1" applyFill="1" applyBorder="1" applyAlignment="1">
      <alignment horizontal="center" vertical="center"/>
    </xf>
    <xf numFmtId="0" fontId="37" fillId="0" borderId="30" xfId="0" applyFont="1" applyBorder="1" applyAlignment="1">
      <alignment horizontal="center" vertical="center"/>
    </xf>
    <xf numFmtId="0" fontId="29" fillId="0" borderId="0" xfId="0" applyFont="1" applyAlignment="1" applyProtection="1">
      <alignment horizontal="center" vertical="center"/>
      <protection locked="0"/>
    </xf>
    <xf numFmtId="0" fontId="21" fillId="0" borderId="0" xfId="0" applyFont="1" applyProtection="1">
      <protection locked="0"/>
    </xf>
    <xf numFmtId="165" fontId="21" fillId="0" borderId="0" xfId="1" applyNumberFormat="1" applyFont="1" applyAlignment="1" applyProtection="1">
      <alignment horizontal="center"/>
    </xf>
    <xf numFmtId="10" fontId="15" fillId="4" borderId="0" xfId="1" applyNumberFormat="1" applyFont="1" applyFill="1" applyBorder="1" applyAlignment="1" applyProtection="1"/>
    <xf numFmtId="0" fontId="42" fillId="0" borderId="0" xfId="0" applyFont="1"/>
    <xf numFmtId="0" fontId="42" fillId="4" borderId="0" xfId="0" applyFont="1" applyFill="1"/>
    <xf numFmtId="164" fontId="42" fillId="4" borderId="0" xfId="0" applyNumberFormat="1" applyFont="1" applyFill="1" applyAlignment="1">
      <alignment horizontal="center"/>
    </xf>
    <xf numFmtId="10" fontId="42" fillId="4" borderId="0" xfId="1" applyNumberFormat="1" applyFont="1" applyFill="1" applyBorder="1" applyAlignment="1" applyProtection="1">
      <alignment horizontal="center"/>
    </xf>
    <xf numFmtId="0" fontId="42" fillId="0" borderId="0" xfId="0" applyFont="1" applyAlignment="1">
      <alignment horizontal="center"/>
    </xf>
    <xf numFmtId="164" fontId="42" fillId="0" borderId="0" xfId="0" applyNumberFormat="1" applyFont="1" applyAlignment="1">
      <alignment horizontal="center"/>
    </xf>
    <xf numFmtId="9" fontId="42" fillId="0" borderId="0" xfId="1" applyFont="1" applyFill="1" applyBorder="1" applyAlignment="1" applyProtection="1">
      <alignment horizontal="center"/>
    </xf>
    <xf numFmtId="9" fontId="42" fillId="4" borderId="0" xfId="1" applyFont="1" applyFill="1" applyBorder="1" applyAlignment="1" applyProtection="1">
      <alignment horizontal="center"/>
    </xf>
    <xf numFmtId="0" fontId="11" fillId="6" borderId="0" xfId="0" applyFont="1" applyFill="1" applyAlignment="1">
      <alignment horizontal="centerContinuous" vertical="center"/>
    </xf>
    <xf numFmtId="0" fontId="11" fillId="7" borderId="0" xfId="0" applyFont="1" applyFill="1" applyAlignment="1">
      <alignment horizontal="centerContinuous"/>
    </xf>
    <xf numFmtId="0" fontId="11" fillId="8" borderId="0" xfId="0" applyFont="1" applyFill="1" applyAlignment="1">
      <alignment horizontal="centerContinuous"/>
    </xf>
    <xf numFmtId="0" fontId="0" fillId="8" borderId="0" xfId="0" applyFill="1" applyAlignment="1">
      <alignment horizontal="centerContinuous"/>
    </xf>
    <xf numFmtId="10" fontId="20" fillId="0" borderId="0" xfId="1" applyNumberFormat="1" applyFont="1" applyFill="1" applyBorder="1" applyAlignment="1" applyProtection="1">
      <alignment horizontal="center"/>
    </xf>
    <xf numFmtId="165" fontId="0" fillId="0" borderId="0" xfId="1" applyNumberFormat="1" applyFont="1" applyFill="1" applyBorder="1" applyAlignment="1">
      <alignment horizontal="center" vertical="center"/>
    </xf>
    <xf numFmtId="165" fontId="10" fillId="0" borderId="0" xfId="1" applyNumberFormat="1" applyFont="1" applyFill="1" applyBorder="1" applyAlignment="1">
      <alignment horizontal="center" vertical="center"/>
    </xf>
    <xf numFmtId="165" fontId="0" fillId="0" borderId="0" xfId="1" applyNumberFormat="1" applyFont="1" applyFill="1" applyBorder="1" applyAlignment="1" applyProtection="1">
      <alignment horizontal="center" vertical="center"/>
    </xf>
    <xf numFmtId="0" fontId="38" fillId="0" borderId="0" xfId="0" applyFont="1"/>
    <xf numFmtId="0" fontId="25" fillId="0" borderId="0" xfId="0" applyFont="1" applyAlignment="1">
      <alignment vertical="center"/>
    </xf>
    <xf numFmtId="0" fontId="25" fillId="0" borderId="0" xfId="0" applyFont="1" applyAlignment="1">
      <alignment horizontal="centerContinuous" vertical="center"/>
    </xf>
    <xf numFmtId="177" fontId="12" fillId="0" borderId="0" xfId="2" applyNumberFormat="1" applyFont="1" applyFill="1" applyBorder="1" applyAlignment="1">
      <alignment horizontal="center" vertical="center"/>
    </xf>
    <xf numFmtId="9" fontId="0" fillId="0" borderId="0" xfId="0" applyNumberFormat="1" applyAlignment="1" applyProtection="1">
      <alignment horizontal="center"/>
      <protection locked="0"/>
    </xf>
    <xf numFmtId="9" fontId="20" fillId="0" borderId="0" xfId="0" applyNumberFormat="1" applyFont="1" applyAlignment="1" applyProtection="1">
      <alignment horizontal="center"/>
      <protection locked="0"/>
    </xf>
    <xf numFmtId="0" fontId="0" fillId="0" borderId="0" xfId="1" applyNumberFormat="1" applyFont="1" applyFill="1" applyBorder="1" applyAlignment="1" applyProtection="1">
      <alignment horizontal="center"/>
    </xf>
    <xf numFmtId="166" fontId="0" fillId="0" borderId="0" xfId="0" applyNumberFormat="1"/>
    <xf numFmtId="0" fontId="23" fillId="0" borderId="2" xfId="0" applyFont="1" applyBorder="1" applyAlignment="1">
      <alignment horizontal="centerContinuous" vertical="center"/>
    </xf>
    <xf numFmtId="0" fontId="23" fillId="0" borderId="3" xfId="0" applyFont="1" applyBorder="1" applyAlignment="1">
      <alignment horizontal="centerContinuous" vertical="center"/>
    </xf>
    <xf numFmtId="0" fontId="23" fillId="0" borderId="4" xfId="0" applyFont="1" applyBorder="1" applyAlignment="1">
      <alignment horizontal="centerContinuous" vertical="center"/>
    </xf>
    <xf numFmtId="0" fontId="23" fillId="0" borderId="0" xfId="0" applyFont="1"/>
    <xf numFmtId="168" fontId="0" fillId="0" borderId="0" xfId="0" applyNumberFormat="1"/>
    <xf numFmtId="0" fontId="49" fillId="0" borderId="0" xfId="7" applyFont="1"/>
    <xf numFmtId="0" fontId="48" fillId="0" borderId="0" xfId="7"/>
    <xf numFmtId="0" fontId="49" fillId="0" borderId="33" xfId="7" applyFont="1" applyBorder="1"/>
    <xf numFmtId="0" fontId="48" fillId="0" borderId="33" xfId="7" applyBorder="1"/>
    <xf numFmtId="164" fontId="19" fillId="0" borderId="0" xfId="0" applyNumberFormat="1" applyFont="1"/>
    <xf numFmtId="164" fontId="25" fillId="0" borderId="0" xfId="0" applyNumberFormat="1" applyFont="1"/>
    <xf numFmtId="0" fontId="15" fillId="0" borderId="0" xfId="0" applyFont="1" applyAlignment="1">
      <alignment horizontal="center"/>
    </xf>
    <xf numFmtId="0" fontId="0" fillId="0" borderId="0" xfId="0" applyAlignment="1">
      <alignment horizontal="centerContinuous"/>
    </xf>
    <xf numFmtId="177" fontId="0" fillId="0" borderId="0" xfId="2" applyNumberFormat="1" applyFont="1" applyProtection="1"/>
    <xf numFmtId="10" fontId="0" fillId="0" borderId="0" xfId="1" applyNumberFormat="1" applyFont="1" applyBorder="1" applyProtection="1"/>
    <xf numFmtId="9" fontId="0" fillId="0" borderId="0" xfId="0" applyNumberFormat="1"/>
    <xf numFmtId="168" fontId="0" fillId="0" borderId="0" xfId="2" applyNumberFormat="1" applyFont="1" applyProtection="1"/>
    <xf numFmtId="177" fontId="12" fillId="2" borderId="0" xfId="2" applyNumberFormat="1" applyFont="1" applyFill="1" applyProtection="1"/>
    <xf numFmtId="177" fontId="12" fillId="2" borderId="0" xfId="0" applyNumberFormat="1" applyFont="1" applyFill="1"/>
    <xf numFmtId="43" fontId="0" fillId="0" borderId="0" xfId="2" applyFont="1"/>
    <xf numFmtId="43" fontId="0" fillId="0" borderId="0" xfId="0" applyNumberFormat="1"/>
    <xf numFmtId="43" fontId="0" fillId="0" borderId="0" xfId="2" applyFont="1" applyBorder="1"/>
    <xf numFmtId="0" fontId="13" fillId="0" borderId="0" xfId="0" applyFont="1"/>
    <xf numFmtId="177" fontId="13" fillId="0" borderId="0" xfId="0" applyNumberFormat="1" applyFont="1"/>
    <xf numFmtId="0" fontId="21" fillId="0" borderId="0" xfId="0" applyFont="1"/>
    <xf numFmtId="3" fontId="0" fillId="0" borderId="0" xfId="2" applyNumberFormat="1" applyFont="1" applyFill="1" applyAlignment="1" applyProtection="1">
      <alignment horizontal="center"/>
      <protection locked="0"/>
    </xf>
    <xf numFmtId="164" fontId="0" fillId="0" borderId="0" xfId="0" applyNumberFormat="1" applyProtection="1">
      <protection locked="0"/>
    </xf>
    <xf numFmtId="0" fontId="19" fillId="0" borderId="0" xfId="0" applyFont="1" applyAlignment="1">
      <alignment horizontal="centerContinuous"/>
    </xf>
    <xf numFmtId="164" fontId="24" fillId="2" borderId="31" xfId="0" applyNumberFormat="1" applyFont="1" applyFill="1" applyBorder="1" applyAlignment="1">
      <alignment horizontal="center"/>
    </xf>
    <xf numFmtId="177" fontId="12" fillId="0" borderId="0" xfId="2" applyNumberFormat="1" applyFont="1" applyFill="1" applyProtection="1"/>
    <xf numFmtId="177" fontId="12" fillId="0" borderId="0" xfId="0" applyNumberFormat="1" applyFont="1"/>
    <xf numFmtId="0" fontId="26" fillId="0" borderId="2" xfId="0" applyFont="1" applyBorder="1" applyAlignment="1">
      <alignment horizontal="centerContinuous"/>
    </xf>
    <xf numFmtId="0" fontId="26" fillId="0" borderId="3" xfId="0" applyFont="1" applyBorder="1" applyAlignment="1">
      <alignment horizontal="centerContinuous"/>
    </xf>
    <xf numFmtId="0" fontId="26" fillId="0" borderId="4" xfId="0" applyFont="1" applyBorder="1" applyAlignment="1">
      <alignment horizontal="centerContinuous"/>
    </xf>
    <xf numFmtId="0" fontId="40" fillId="0" borderId="20" xfId="0" applyFont="1" applyBorder="1" applyAlignment="1">
      <alignment vertical="center"/>
    </xf>
    <xf numFmtId="0" fontId="39" fillId="0" borderId="20" xfId="0" applyFont="1" applyBorder="1" applyAlignment="1">
      <alignment vertical="center"/>
    </xf>
    <xf numFmtId="0" fontId="24" fillId="0" borderId="13" xfId="0" applyFont="1" applyBorder="1"/>
    <xf numFmtId="0" fontId="21" fillId="0" borderId="13" xfId="0" applyFont="1" applyBorder="1" applyAlignment="1">
      <alignment horizontal="center"/>
    </xf>
    <xf numFmtId="0" fontId="31" fillId="0" borderId="13" xfId="0" applyFont="1" applyBorder="1" applyAlignment="1">
      <alignment horizontal="center"/>
    </xf>
    <xf numFmtId="165" fontId="21" fillId="0" borderId="0" xfId="0" applyNumberFormat="1" applyFont="1" applyAlignment="1">
      <alignment horizontal="center"/>
    </xf>
    <xf numFmtId="0" fontId="12" fillId="0" borderId="13" xfId="0" applyFont="1" applyBorder="1" applyAlignment="1">
      <alignment vertical="center"/>
    </xf>
    <xf numFmtId="1" fontId="21" fillId="0" borderId="0" xfId="1" applyNumberFormat="1" applyFont="1" applyFill="1" applyAlignment="1" applyProtection="1">
      <alignment horizontal="center"/>
    </xf>
    <xf numFmtId="165" fontId="21" fillId="0" borderId="0" xfId="1" applyNumberFormat="1" applyFont="1" applyFill="1" applyAlignment="1" applyProtection="1">
      <alignment horizontal="center"/>
    </xf>
    <xf numFmtId="166" fontId="0" fillId="0" borderId="0" xfId="1" applyNumberFormat="1" applyFont="1" applyAlignment="1" applyProtection="1">
      <alignment horizontal="center"/>
    </xf>
    <xf numFmtId="43" fontId="0" fillId="0" borderId="0" xfId="2" applyFont="1" applyAlignment="1" applyProtection="1">
      <alignment horizontal="center"/>
    </xf>
    <xf numFmtId="165" fontId="36" fillId="0" borderId="0" xfId="1" applyNumberFormat="1" applyFont="1" applyBorder="1" applyAlignment="1" applyProtection="1">
      <alignment horizontal="center" vertical="center"/>
    </xf>
    <xf numFmtId="168" fontId="35" fillId="4" borderId="0" xfId="2" applyNumberFormat="1" applyFont="1" applyFill="1" applyBorder="1" applyAlignment="1" applyProtection="1">
      <alignment horizontal="center"/>
    </xf>
    <xf numFmtId="43" fontId="13" fillId="0" borderId="0" xfId="0" applyNumberFormat="1" applyFont="1"/>
    <xf numFmtId="9" fontId="24" fillId="15" borderId="0" xfId="1" applyFont="1" applyFill="1" applyAlignment="1">
      <alignment horizontal="center"/>
    </xf>
    <xf numFmtId="0" fontId="24" fillId="0" borderId="16" xfId="0" applyFont="1" applyBorder="1" applyAlignment="1">
      <alignment horizontal="center"/>
    </xf>
    <xf numFmtId="10" fontId="12" fillId="0" borderId="0" xfId="1" applyNumberFormat="1" applyFont="1" applyFill="1"/>
    <xf numFmtId="0" fontId="19" fillId="12" borderId="0" xfId="0" applyFont="1" applyFill="1" applyAlignment="1">
      <alignment horizontal="centerContinuous"/>
    </xf>
    <xf numFmtId="0" fontId="61" fillId="0" borderId="0" xfId="0" applyFont="1" applyProtection="1">
      <protection locked="0"/>
    </xf>
    <xf numFmtId="0" fontId="60" fillId="0" borderId="30" xfId="0" applyFont="1" applyBorder="1" applyAlignment="1">
      <alignment horizontal="left"/>
    </xf>
    <xf numFmtId="0" fontId="61" fillId="0" borderId="30" xfId="0" applyFont="1" applyBorder="1"/>
    <xf numFmtId="0" fontId="61" fillId="0" borderId="30" xfId="0" applyFont="1" applyBorder="1" applyAlignment="1">
      <alignment horizontal="center"/>
    </xf>
    <xf numFmtId="0" fontId="60" fillId="0" borderId="0" xfId="0" applyFont="1" applyAlignment="1">
      <alignment horizontal="left"/>
    </xf>
    <xf numFmtId="0" fontId="61" fillId="0" borderId="0" xfId="0" applyFont="1"/>
    <xf numFmtId="0" fontId="61" fillId="0" borderId="0" xfId="0" applyFont="1" applyAlignment="1" applyProtection="1">
      <alignment vertical="center"/>
      <protection locked="0"/>
    </xf>
    <xf numFmtId="0" fontId="62" fillId="0" borderId="20" xfId="0" applyFont="1" applyBorder="1" applyAlignment="1">
      <alignment vertical="center"/>
    </xf>
    <xf numFmtId="0" fontId="61" fillId="0" borderId="20" xfId="0" applyFont="1" applyBorder="1" applyAlignment="1">
      <alignment vertical="center"/>
    </xf>
    <xf numFmtId="0" fontId="61" fillId="0" borderId="20" xfId="0" applyFont="1" applyBorder="1" applyAlignment="1" applyProtection="1">
      <alignment vertical="center"/>
      <protection locked="0"/>
    </xf>
    <xf numFmtId="0" fontId="62" fillId="0" borderId="20" xfId="0" applyFont="1" applyBorder="1" applyAlignment="1">
      <alignment horizontal="left" vertical="center"/>
    </xf>
    <xf numFmtId="0" fontId="61" fillId="0" borderId="20" xfId="0" applyFont="1" applyBorder="1" applyAlignment="1">
      <alignment horizontal="left" vertical="center"/>
    </xf>
    <xf numFmtId="0" fontId="61" fillId="0" borderId="0" xfId="0" applyFont="1" applyAlignment="1">
      <alignment vertical="center"/>
    </xf>
    <xf numFmtId="0" fontId="63" fillId="0" borderId="20" xfId="0" applyFont="1" applyBorder="1"/>
    <xf numFmtId="0" fontId="61" fillId="0" borderId="20" xfId="0" applyFont="1" applyBorder="1"/>
    <xf numFmtId="0" fontId="13" fillId="12" borderId="0" xfId="0" applyFont="1" applyFill="1"/>
    <xf numFmtId="0" fontId="11" fillId="12" borderId="0" xfId="0" applyFont="1" applyFill="1" applyAlignment="1">
      <alignment horizontal="center" vertical="center"/>
    </xf>
    <xf numFmtId="165" fontId="36" fillId="4" borderId="0" xfId="1" applyNumberFormat="1" applyFont="1" applyFill="1" applyBorder="1" applyAlignment="1" applyProtection="1">
      <alignment horizontal="center" vertical="center"/>
    </xf>
    <xf numFmtId="0" fontId="21" fillId="0" borderId="20" xfId="0" applyFont="1" applyBorder="1" applyAlignment="1" applyProtection="1">
      <alignment vertical="center"/>
      <protection locked="0"/>
    </xf>
    <xf numFmtId="0" fontId="0" fillId="0" borderId="0" xfId="0" applyAlignment="1" applyProtection="1">
      <alignment horizontal="left" indent="1"/>
      <protection locked="0"/>
    </xf>
    <xf numFmtId="9" fontId="0" fillId="0" borderId="0" xfId="1" applyFont="1" applyProtection="1">
      <protection locked="0"/>
    </xf>
    <xf numFmtId="9" fontId="0" fillId="0" borderId="0" xfId="1" applyFont="1"/>
    <xf numFmtId="166" fontId="0" fillId="0" borderId="0" xfId="2" applyNumberFormat="1" applyFont="1" applyFill="1" applyAlignment="1" applyProtection="1">
      <alignment horizontal="center"/>
      <protection locked="0"/>
    </xf>
    <xf numFmtId="164" fontId="22" fillId="0" borderId="0" xfId="0" applyNumberFormat="1" applyFont="1" applyAlignment="1" applyProtection="1">
      <alignment horizontal="center"/>
      <protection locked="0"/>
    </xf>
    <xf numFmtId="3" fontId="0" fillId="0" borderId="0" xfId="2" applyNumberFormat="1" applyFont="1" applyFill="1" applyBorder="1" applyAlignment="1" applyProtection="1">
      <alignment horizontal="center"/>
      <protection locked="0"/>
    </xf>
    <xf numFmtId="166" fontId="0" fillId="0" borderId="0" xfId="2" applyNumberFormat="1" applyFont="1" applyFill="1" applyBorder="1" applyAlignment="1" applyProtection="1">
      <alignment horizontal="center"/>
      <protection locked="0"/>
    </xf>
    <xf numFmtId="182" fontId="0" fillId="0" borderId="0" xfId="0" applyNumberFormat="1" applyProtection="1">
      <protection locked="0"/>
    </xf>
    <xf numFmtId="177" fontId="0" fillId="0" borderId="0" xfId="0" applyNumberFormat="1"/>
    <xf numFmtId="0" fontId="12" fillId="0" borderId="0" xfId="0" applyFont="1" applyAlignment="1">
      <alignment horizontal="centerContinuous"/>
    </xf>
    <xf numFmtId="164" fontId="0" fillId="0" borderId="0" xfId="2" applyNumberFormat="1" applyFont="1"/>
    <xf numFmtId="164" fontId="0" fillId="0" borderId="0" xfId="2" applyNumberFormat="1" applyFont="1" applyBorder="1"/>
    <xf numFmtId="166" fontId="61" fillId="0" borderId="20" xfId="0" applyNumberFormat="1" applyFont="1" applyBorder="1"/>
    <xf numFmtId="9" fontId="35" fillId="4" borderId="0" xfId="1" applyFont="1" applyFill="1" applyBorder="1" applyAlignment="1" applyProtection="1">
      <alignment horizontal="center"/>
    </xf>
    <xf numFmtId="0" fontId="0" fillId="4" borderId="34" xfId="0" applyFill="1" applyBorder="1"/>
    <xf numFmtId="164" fontId="0" fillId="4" borderId="34" xfId="0" applyNumberFormat="1" applyFill="1" applyBorder="1"/>
    <xf numFmtId="164" fontId="0" fillId="4" borderId="34" xfId="0" applyNumberFormat="1" applyFill="1" applyBorder="1" applyAlignment="1">
      <alignment horizontal="center"/>
    </xf>
    <xf numFmtId="0" fontId="0" fillId="15" borderId="34" xfId="0" applyFill="1" applyBorder="1"/>
    <xf numFmtId="164" fontId="0" fillId="15" borderId="34" xfId="0" applyNumberFormat="1" applyFill="1" applyBorder="1" applyAlignment="1">
      <alignment horizontal="center"/>
    </xf>
    <xf numFmtId="164" fontId="0" fillId="18" borderId="34" xfId="0" applyNumberFormat="1" applyFill="1" applyBorder="1" applyAlignment="1">
      <alignment horizontal="center"/>
    </xf>
    <xf numFmtId="43" fontId="0" fillId="0" borderId="0" xfId="2" applyFont="1" applyAlignment="1">
      <alignment horizontal="center"/>
    </xf>
    <xf numFmtId="0" fontId="0" fillId="18" borderId="34" xfId="0" applyFill="1" applyBorder="1"/>
    <xf numFmtId="0" fontId="19" fillId="19" borderId="34" xfId="0" applyFont="1" applyFill="1" applyBorder="1" applyAlignment="1">
      <alignment horizontal="center"/>
    </xf>
    <xf numFmtId="165" fontId="24" fillId="19" borderId="34" xfId="0" applyNumberFormat="1" applyFont="1" applyFill="1" applyBorder="1" applyAlignment="1">
      <alignment horizontal="center"/>
    </xf>
    <xf numFmtId="164" fontId="0" fillId="19" borderId="34" xfId="0" applyNumberFormat="1" applyFill="1" applyBorder="1" applyAlignment="1">
      <alignment horizontal="center"/>
    </xf>
    <xf numFmtId="43" fontId="0" fillId="0" borderId="0" xfId="2" applyFont="1" applyBorder="1" applyAlignment="1" applyProtection="1">
      <alignment horizontal="center"/>
      <protection locked="0"/>
    </xf>
    <xf numFmtId="0" fontId="0" fillId="0" borderId="16" xfId="0" applyBorder="1" applyProtection="1">
      <protection locked="0"/>
    </xf>
    <xf numFmtId="165" fontId="0" fillId="0" borderId="16" xfId="0" applyNumberFormat="1" applyBorder="1" applyAlignment="1" applyProtection="1">
      <alignment horizontal="center"/>
      <protection locked="0"/>
    </xf>
    <xf numFmtId="9" fontId="0" fillId="15" borderId="0" xfId="1" applyFont="1" applyFill="1" applyBorder="1" applyAlignment="1" applyProtection="1">
      <alignment horizontal="center"/>
      <protection locked="0"/>
    </xf>
    <xf numFmtId="3" fontId="0" fillId="0" borderId="0" xfId="0" applyNumberFormat="1" applyProtection="1">
      <protection locked="0"/>
    </xf>
    <xf numFmtId="9" fontId="0" fillId="0" borderId="0" xfId="1" applyFont="1" applyBorder="1" applyAlignment="1">
      <alignment horizontal="center"/>
    </xf>
    <xf numFmtId="0" fontId="0" fillId="0" borderId="0" xfId="1" applyNumberFormat="1" applyFont="1" applyBorder="1" applyAlignment="1">
      <alignment horizontal="left"/>
    </xf>
    <xf numFmtId="43" fontId="0" fillId="0" borderId="0" xfId="2" applyFont="1" applyFill="1" applyAlignment="1" applyProtection="1">
      <alignment horizontal="center"/>
    </xf>
    <xf numFmtId="0" fontId="9" fillId="20" borderId="0" xfId="8" applyFill="1"/>
    <xf numFmtId="0" fontId="65" fillId="12" borderId="35" xfId="8" applyFont="1" applyFill="1" applyBorder="1"/>
    <xf numFmtId="0" fontId="65" fillId="16" borderId="0" xfId="8" applyFont="1" applyFill="1" applyAlignment="1">
      <alignment horizontal="center"/>
    </xf>
    <xf numFmtId="179" fontId="66" fillId="20" borderId="0" xfId="9" applyNumberFormat="1" applyFont="1" applyFill="1"/>
    <xf numFmtId="0" fontId="66" fillId="20" borderId="0" xfId="8" applyFont="1" applyFill="1"/>
    <xf numFmtId="179" fontId="0" fillId="20" borderId="0" xfId="9" applyNumberFormat="1" applyFont="1" applyFill="1"/>
    <xf numFmtId="179" fontId="9" fillId="20" borderId="0" xfId="8" applyNumberFormat="1" applyFill="1"/>
    <xf numFmtId="179" fontId="0" fillId="20" borderId="16" xfId="9" applyNumberFormat="1" applyFont="1" applyFill="1" applyBorder="1"/>
    <xf numFmtId="0" fontId="9" fillId="0" borderId="0" xfId="8"/>
    <xf numFmtId="179" fontId="0" fillId="20" borderId="0" xfId="9" applyNumberFormat="1" applyFont="1" applyFill="1" applyBorder="1"/>
    <xf numFmtId="0" fontId="65" fillId="0" borderId="0" xfId="8" applyFont="1"/>
    <xf numFmtId="0" fontId="65" fillId="0" borderId="0" xfId="8" applyFont="1" applyAlignment="1">
      <alignment horizontal="center"/>
    </xf>
    <xf numFmtId="179" fontId="66" fillId="0" borderId="0" xfId="9" applyNumberFormat="1" applyFont="1" applyFill="1" applyBorder="1"/>
    <xf numFmtId="0" fontId="66" fillId="0" borderId="0" xfId="8" applyFont="1"/>
    <xf numFmtId="179" fontId="0" fillId="0" borderId="0" xfId="9" applyNumberFormat="1" applyFont="1" applyFill="1" applyBorder="1"/>
    <xf numFmtId="179" fontId="9" fillId="0" borderId="0" xfId="8" applyNumberFormat="1"/>
    <xf numFmtId="0" fontId="9" fillId="0" borderId="0" xfId="8" applyAlignment="1">
      <alignment horizontal="right"/>
    </xf>
    <xf numFmtId="0" fontId="67" fillId="0" borderId="0" xfId="0" applyFont="1"/>
    <xf numFmtId="0" fontId="12" fillId="0" borderId="0" xfId="0" applyFont="1" applyAlignment="1">
      <alignment horizontal="right"/>
    </xf>
    <xf numFmtId="0" fontId="0" fillId="0" borderId="0" xfId="0" applyAlignment="1">
      <alignment horizontal="right"/>
    </xf>
    <xf numFmtId="0" fontId="0" fillId="15" borderId="0" xfId="0" applyFill="1"/>
    <xf numFmtId="0" fontId="12" fillId="15" borderId="0" xfId="0" applyFont="1" applyFill="1"/>
    <xf numFmtId="168" fontId="0" fillId="0" borderId="0" xfId="2" applyNumberFormat="1" applyFont="1"/>
    <xf numFmtId="164" fontId="68" fillId="0" borderId="0" xfId="2" applyNumberFormat="1" applyFont="1"/>
    <xf numFmtId="10" fontId="68" fillId="0" borderId="0" xfId="0" applyNumberFormat="1" applyFont="1"/>
    <xf numFmtId="14" fontId="0" fillId="0" borderId="0" xfId="0" applyNumberFormat="1"/>
    <xf numFmtId="0" fontId="69" fillId="0" borderId="0" xfId="0" applyFont="1"/>
    <xf numFmtId="0" fontId="70" fillId="0" borderId="0" xfId="0" applyFont="1"/>
    <xf numFmtId="0" fontId="71" fillId="0" borderId="36" xfId="0" applyFont="1" applyBorder="1" applyAlignment="1">
      <alignment vertical="center"/>
    </xf>
    <xf numFmtId="0" fontId="70" fillId="0" borderId="36" xfId="0" applyFont="1" applyBorder="1" applyAlignment="1">
      <alignment vertical="center"/>
    </xf>
    <xf numFmtId="0" fontId="72" fillId="0" borderId="36" xfId="0" applyFont="1" applyBorder="1" applyAlignment="1">
      <alignment vertical="center"/>
    </xf>
    <xf numFmtId="0" fontId="70" fillId="0" borderId="0" xfId="0" applyFont="1" applyAlignment="1">
      <alignment vertical="center"/>
    </xf>
    <xf numFmtId="0" fontId="72" fillId="0" borderId="0" xfId="0" applyFont="1" applyAlignment="1">
      <alignment horizontal="center" vertical="center"/>
    </xf>
    <xf numFmtId="0" fontId="73" fillId="21" borderId="0" xfId="0" applyFont="1" applyFill="1"/>
    <xf numFmtId="0" fontId="73" fillId="21" borderId="0" xfId="0" applyFont="1" applyFill="1" applyAlignment="1">
      <alignment horizontal="center"/>
    </xf>
    <xf numFmtId="0" fontId="69" fillId="0" borderId="0" xfId="0" applyFont="1" applyAlignment="1">
      <alignment vertical="center"/>
    </xf>
    <xf numFmtId="0" fontId="69" fillId="0" borderId="0" xfId="0" applyFont="1" applyAlignment="1">
      <alignment horizontal="center" vertical="center"/>
    </xf>
    <xf numFmtId="164" fontId="69" fillId="0" borderId="0" xfId="0" applyNumberFormat="1" applyFont="1" applyAlignment="1">
      <alignment horizontal="center" vertical="center"/>
    </xf>
    <xf numFmtId="0" fontId="69" fillId="0" borderId="0" xfId="0" applyFont="1" applyAlignment="1">
      <alignment vertical="center" wrapText="1"/>
    </xf>
    <xf numFmtId="0" fontId="74" fillId="22" borderId="0" xfId="0" applyFont="1" applyFill="1" applyAlignment="1">
      <alignment vertical="center"/>
    </xf>
    <xf numFmtId="0" fontId="69" fillId="22" borderId="0" xfId="0" applyFont="1" applyFill="1" applyAlignment="1">
      <alignment horizontal="center" vertical="center"/>
    </xf>
    <xf numFmtId="164" fontId="69" fillId="22" borderId="0" xfId="0" applyNumberFormat="1" applyFont="1" applyFill="1" applyAlignment="1">
      <alignment horizontal="center" vertical="center"/>
    </xf>
    <xf numFmtId="0" fontId="69" fillId="22" borderId="0" xfId="0" applyFont="1" applyFill="1" applyAlignment="1">
      <alignment vertical="center"/>
    </xf>
    <xf numFmtId="164" fontId="74" fillId="22" borderId="0" xfId="0" applyNumberFormat="1" applyFont="1" applyFill="1" applyAlignment="1">
      <alignment horizontal="center" vertical="center"/>
    </xf>
    <xf numFmtId="164" fontId="69" fillId="0" borderId="0" xfId="0" applyNumberFormat="1" applyFont="1" applyAlignment="1">
      <alignment vertical="center"/>
    </xf>
    <xf numFmtId="0" fontId="74" fillId="0" borderId="0" xfId="0" applyFont="1" applyAlignment="1">
      <alignment vertical="center"/>
    </xf>
    <xf numFmtId="164" fontId="74" fillId="0" borderId="0" xfId="0" applyNumberFormat="1" applyFont="1" applyAlignment="1">
      <alignment horizontal="center" vertical="center"/>
    </xf>
    <xf numFmtId="9" fontId="69" fillId="0" borderId="0" xfId="0" applyNumberFormat="1" applyFont="1" applyAlignment="1">
      <alignment horizontal="center" vertical="center"/>
    </xf>
    <xf numFmtId="9" fontId="69" fillId="0" borderId="0" xfId="0" applyNumberFormat="1" applyFont="1" applyAlignment="1">
      <alignment vertical="center"/>
    </xf>
    <xf numFmtId="0" fontId="70" fillId="0" borderId="0" xfId="0" applyFont="1" applyAlignment="1">
      <alignment horizontal="center" vertical="center"/>
    </xf>
    <xf numFmtId="164" fontId="69" fillId="0" borderId="0" xfId="0" applyNumberFormat="1" applyFont="1"/>
    <xf numFmtId="9" fontId="0" fillId="4" borderId="0" xfId="1" applyFont="1" applyFill="1" applyBorder="1" applyAlignment="1">
      <alignment horizontal="center"/>
    </xf>
    <xf numFmtId="9" fontId="0" fillId="4" borderId="0" xfId="1" applyFont="1" applyFill="1" applyBorder="1"/>
    <xf numFmtId="9" fontId="0" fillId="0" borderId="0" xfId="1" applyFont="1" applyBorder="1"/>
    <xf numFmtId="10" fontId="0" fillId="4" borderId="0" xfId="1" applyNumberFormat="1" applyFont="1" applyFill="1" applyBorder="1"/>
    <xf numFmtId="10" fontId="0" fillId="4" borderId="0" xfId="1" applyNumberFormat="1" applyFont="1" applyFill="1" applyBorder="1" applyAlignment="1">
      <alignment horizontal="center"/>
    </xf>
    <xf numFmtId="10" fontId="0" fillId="0" borderId="0" xfId="1" applyNumberFormat="1" applyFont="1" applyBorder="1" applyAlignment="1">
      <alignment horizontal="center"/>
    </xf>
    <xf numFmtId="10" fontId="0" fillId="0" borderId="0" xfId="1" applyNumberFormat="1" applyFont="1" applyBorder="1"/>
    <xf numFmtId="43" fontId="0" fillId="0" borderId="16" xfId="2" applyFont="1" applyFill="1" applyBorder="1"/>
    <xf numFmtId="177" fontId="0" fillId="0" borderId="16" xfId="2" applyNumberFormat="1" applyFont="1" applyFill="1" applyBorder="1"/>
    <xf numFmtId="177" fontId="0" fillId="0" borderId="0" xfId="2" applyNumberFormat="1" applyFont="1" applyFill="1"/>
    <xf numFmtId="43" fontId="0" fillId="0" borderId="0" xfId="2" applyFont="1" applyFill="1" applyBorder="1"/>
    <xf numFmtId="177" fontId="0" fillId="0" borderId="0" xfId="2" applyNumberFormat="1" applyFont="1" applyFill="1" applyBorder="1"/>
    <xf numFmtId="165" fontId="12" fillId="0" borderId="11" xfId="0" applyNumberFormat="1" applyFont="1" applyBorder="1"/>
    <xf numFmtId="0" fontId="12" fillId="0" borderId="11" xfId="0" applyFont="1" applyBorder="1"/>
    <xf numFmtId="0" fontId="75" fillId="23" borderId="0" xfId="0" applyFont="1" applyFill="1" applyAlignment="1">
      <alignment horizontal="center"/>
    </xf>
    <xf numFmtId="0" fontId="0" fillId="24" borderId="0" xfId="0" applyFill="1" applyAlignment="1">
      <alignment horizontal="center"/>
    </xf>
    <xf numFmtId="184" fontId="0" fillId="24" borderId="0" xfId="0" applyNumberFormat="1" applyFill="1" applyAlignment="1">
      <alignment horizontal="center"/>
    </xf>
    <xf numFmtId="184" fontId="0" fillId="24" borderId="0" xfId="0" applyNumberFormat="1" applyFill="1" applyAlignment="1">
      <alignment horizontal="right"/>
    </xf>
    <xf numFmtId="185" fontId="0" fillId="24" borderId="0" xfId="0" applyNumberFormat="1" applyFill="1" applyAlignment="1">
      <alignment horizontal="right"/>
    </xf>
    <xf numFmtId="0" fontId="0" fillId="24" borderId="0" xfId="0" applyFill="1" applyAlignment="1">
      <alignment horizontal="right"/>
    </xf>
    <xf numFmtId="186" fontId="0" fillId="24" borderId="0" xfId="0" applyNumberFormat="1" applyFill="1" applyAlignment="1">
      <alignment horizontal="right"/>
    </xf>
    <xf numFmtId="187" fontId="0" fillId="24" borderId="0" xfId="0" applyNumberFormat="1" applyFill="1" applyAlignment="1">
      <alignment horizontal="right"/>
    </xf>
    <xf numFmtId="188" fontId="0" fillId="24" borderId="0" xfId="0" applyNumberFormat="1" applyFill="1" applyAlignment="1">
      <alignment horizontal="right"/>
    </xf>
    <xf numFmtId="0" fontId="0" fillId="24" borderId="0" xfId="0" applyFill="1"/>
    <xf numFmtId="0" fontId="0" fillId="25" borderId="0" xfId="0" applyFill="1" applyAlignment="1">
      <alignment horizontal="center"/>
    </xf>
    <xf numFmtId="184" fontId="0" fillId="25" borderId="0" xfId="0" applyNumberFormat="1" applyFill="1" applyAlignment="1">
      <alignment horizontal="center"/>
    </xf>
    <xf numFmtId="184" fontId="0" fillId="25" borderId="0" xfId="0" applyNumberFormat="1" applyFill="1" applyAlignment="1">
      <alignment horizontal="right"/>
    </xf>
    <xf numFmtId="185" fontId="0" fillId="25" borderId="0" xfId="0" applyNumberFormat="1" applyFill="1" applyAlignment="1">
      <alignment horizontal="right"/>
    </xf>
    <xf numFmtId="0" fontId="0" fillId="25" borderId="0" xfId="0" applyFill="1" applyAlignment="1">
      <alignment horizontal="right"/>
    </xf>
    <xf numFmtId="186" fontId="0" fillId="25" borderId="0" xfId="0" applyNumberFormat="1" applyFill="1" applyAlignment="1">
      <alignment horizontal="right"/>
    </xf>
    <xf numFmtId="187" fontId="0" fillId="25" borderId="0" xfId="0" applyNumberFormat="1" applyFill="1" applyAlignment="1">
      <alignment horizontal="right"/>
    </xf>
    <xf numFmtId="188" fontId="0" fillId="25" borderId="0" xfId="0" applyNumberFormat="1" applyFill="1" applyAlignment="1">
      <alignment horizontal="right"/>
    </xf>
    <xf numFmtId="0" fontId="0" fillId="25" borderId="0" xfId="0" applyFill="1"/>
    <xf numFmtId="0" fontId="10" fillId="0" borderId="0" xfId="0" applyFont="1"/>
    <xf numFmtId="0" fontId="3" fillId="0" borderId="0" xfId="22"/>
    <xf numFmtId="0" fontId="19" fillId="12" borderId="2" xfId="22" applyFont="1" applyFill="1" applyBorder="1" applyAlignment="1">
      <alignment horizontal="centerContinuous"/>
    </xf>
    <xf numFmtId="0" fontId="19" fillId="12" borderId="3" xfId="22" applyFont="1" applyFill="1" applyBorder="1" applyAlignment="1">
      <alignment horizontal="centerContinuous"/>
    </xf>
    <xf numFmtId="0" fontId="19" fillId="12" borderId="0" xfId="22" applyFont="1" applyFill="1" applyAlignment="1">
      <alignment horizontal="centerContinuous"/>
    </xf>
    <xf numFmtId="0" fontId="12" fillId="0" borderId="39" xfId="22" applyFont="1" applyBorder="1" applyAlignment="1">
      <alignment horizontal="center"/>
    </xf>
    <xf numFmtId="0" fontId="76" fillId="0" borderId="0" xfId="22" applyFont="1" applyAlignment="1">
      <alignment horizontal="right"/>
    </xf>
    <xf numFmtId="0" fontId="3" fillId="20" borderId="13" xfId="22" applyFill="1" applyBorder="1" applyAlignment="1">
      <alignment horizontal="left"/>
    </xf>
    <xf numFmtId="164" fontId="3" fillId="20" borderId="16" xfId="22" applyNumberFormat="1" applyFill="1" applyBorder="1" applyAlignment="1">
      <alignment horizontal="left"/>
    </xf>
    <xf numFmtId="166" fontId="3" fillId="20" borderId="16" xfId="22" applyNumberFormat="1" applyFill="1" applyBorder="1" applyAlignment="1">
      <alignment horizontal="left"/>
    </xf>
    <xf numFmtId="0" fontId="3" fillId="20" borderId="16" xfId="22" applyFill="1" applyBorder="1" applyAlignment="1">
      <alignment horizontal="center"/>
    </xf>
    <xf numFmtId="0" fontId="77" fillId="0" borderId="0" xfId="21"/>
    <xf numFmtId="0" fontId="59" fillId="0" borderId="0" xfId="14"/>
    <xf numFmtId="0" fontId="65" fillId="12" borderId="0" xfId="22" applyFont="1" applyFill="1" applyAlignment="1">
      <alignment horizontal="left"/>
    </xf>
    <xf numFmtId="0" fontId="76" fillId="20" borderId="10" xfId="22" applyFont="1" applyFill="1" applyBorder="1" applyAlignment="1">
      <alignment horizontal="left"/>
    </xf>
    <xf numFmtId="0" fontId="76" fillId="20" borderId="11" xfId="22" applyFont="1" applyFill="1" applyBorder="1" applyAlignment="1">
      <alignment horizontal="center"/>
    </xf>
    <xf numFmtId="164" fontId="76" fillId="20" borderId="11" xfId="22" applyNumberFormat="1" applyFont="1" applyFill="1" applyBorder="1" applyAlignment="1">
      <alignment horizontal="left"/>
    </xf>
    <xf numFmtId="166" fontId="76" fillId="20" borderId="11" xfId="22" applyNumberFormat="1" applyFont="1" applyFill="1" applyBorder="1" applyAlignment="1">
      <alignment horizontal="left"/>
    </xf>
    <xf numFmtId="0" fontId="76" fillId="20" borderId="12" xfId="22" applyFont="1" applyFill="1" applyBorder="1" applyAlignment="1">
      <alignment horizontal="center"/>
    </xf>
    <xf numFmtId="0" fontId="3" fillId="20" borderId="14" xfId="22" applyFill="1" applyBorder="1" applyAlignment="1">
      <alignment horizontal="center"/>
    </xf>
    <xf numFmtId="0" fontId="3" fillId="20" borderId="17" xfId="22" applyFill="1" applyBorder="1" applyAlignment="1">
      <alignment horizontal="center"/>
    </xf>
    <xf numFmtId="0" fontId="24" fillId="20" borderId="37" xfId="22" applyFont="1" applyFill="1" applyBorder="1" applyAlignment="1">
      <alignment horizontal="center"/>
    </xf>
    <xf numFmtId="0" fontId="24" fillId="20" borderId="38" xfId="22" applyFont="1" applyFill="1" applyBorder="1" applyAlignment="1">
      <alignment horizontal="center"/>
    </xf>
    <xf numFmtId="0" fontId="3" fillId="20" borderId="0" xfId="22" applyFill="1" applyAlignment="1">
      <alignment horizontal="left"/>
    </xf>
    <xf numFmtId="0" fontId="3" fillId="20" borderId="0" xfId="22" applyFill="1" applyAlignment="1">
      <alignment horizontal="center"/>
    </xf>
    <xf numFmtId="164" fontId="3" fillId="20" borderId="0" xfId="22" applyNumberFormat="1" applyFill="1" applyAlignment="1">
      <alignment horizontal="left"/>
    </xf>
    <xf numFmtId="166" fontId="3" fillId="20" borderId="0" xfId="22" applyNumberFormat="1" applyFill="1" applyAlignment="1">
      <alignment horizontal="left"/>
    </xf>
    <xf numFmtId="0" fontId="3" fillId="12" borderId="0" xfId="22" applyFill="1"/>
    <xf numFmtId="0" fontId="3" fillId="12" borderId="0" xfId="22" applyFill="1" applyAlignment="1">
      <alignment horizontal="centerContinuous"/>
    </xf>
    <xf numFmtId="0" fontId="76" fillId="19" borderId="0" xfId="22" applyFont="1" applyFill="1"/>
    <xf numFmtId="10" fontId="3" fillId="20" borderId="0" xfId="22" applyNumberFormat="1" applyFill="1" applyAlignment="1">
      <alignment horizontal="center"/>
    </xf>
    <xf numFmtId="0" fontId="19" fillId="12" borderId="10" xfId="22" applyFont="1" applyFill="1" applyBorder="1" applyAlignment="1">
      <alignment horizontal="centerContinuous"/>
    </xf>
    <xf numFmtId="0" fontId="19" fillId="12" borderId="11" xfId="22" applyFont="1" applyFill="1" applyBorder="1" applyAlignment="1">
      <alignment horizontal="centerContinuous"/>
    </xf>
    <xf numFmtId="0" fontId="3" fillId="12" borderId="11" xfId="22" applyFill="1" applyBorder="1" applyAlignment="1">
      <alignment horizontal="centerContinuous"/>
    </xf>
    <xf numFmtId="0" fontId="3" fillId="12" borderId="12" xfId="22" applyFill="1" applyBorder="1" applyAlignment="1">
      <alignment horizontal="centerContinuous"/>
    </xf>
    <xf numFmtId="0" fontId="65" fillId="12" borderId="13" xfId="22" applyFont="1" applyFill="1" applyBorder="1" applyAlignment="1">
      <alignment horizontal="left"/>
    </xf>
    <xf numFmtId="0" fontId="3" fillId="12" borderId="14" xfId="22" applyFill="1" applyBorder="1"/>
    <xf numFmtId="0" fontId="76" fillId="19" borderId="14" xfId="22" applyFont="1" applyFill="1" applyBorder="1"/>
    <xf numFmtId="0" fontId="3" fillId="0" borderId="10" xfId="22" applyBorder="1" applyAlignment="1">
      <alignment horizontal="center"/>
    </xf>
    <xf numFmtId="0" fontId="3" fillId="0" borderId="11" xfId="22" applyBorder="1" applyAlignment="1">
      <alignment horizontal="center"/>
    </xf>
    <xf numFmtId="0" fontId="3" fillId="0" borderId="13" xfId="22" applyBorder="1" applyAlignment="1">
      <alignment horizontal="center"/>
    </xf>
    <xf numFmtId="0" fontId="3" fillId="0" borderId="0" xfId="22" applyAlignment="1">
      <alignment horizontal="center"/>
    </xf>
    <xf numFmtId="0" fontId="3" fillId="0" borderId="15" xfId="22" applyBorder="1" applyAlignment="1">
      <alignment horizontal="center"/>
    </xf>
    <xf numFmtId="0" fontId="3" fillId="0" borderId="16" xfId="22" applyBorder="1" applyAlignment="1">
      <alignment horizontal="center"/>
    </xf>
    <xf numFmtId="0" fontId="76" fillId="0" borderId="15" xfId="22" applyFont="1" applyBorder="1" applyAlignment="1">
      <alignment horizontal="center"/>
    </xf>
    <xf numFmtId="0" fontId="76" fillId="0" borderId="16" xfId="22" applyFont="1" applyBorder="1" applyAlignment="1">
      <alignment horizontal="center"/>
    </xf>
    <xf numFmtId="10" fontId="76" fillId="0" borderId="16" xfId="1" applyNumberFormat="1" applyFont="1" applyBorder="1" applyAlignment="1">
      <alignment horizontal="center"/>
    </xf>
    <xf numFmtId="165" fontId="76" fillId="0" borderId="17" xfId="1" applyNumberFormat="1" applyFont="1" applyBorder="1" applyAlignment="1">
      <alignment horizontal="center"/>
    </xf>
    <xf numFmtId="0" fontId="76" fillId="19" borderId="13" xfId="22" applyFont="1" applyFill="1" applyBorder="1" applyAlignment="1">
      <alignment horizontal="center"/>
    </xf>
    <xf numFmtId="0" fontId="76" fillId="19" borderId="0" xfId="22" applyFont="1" applyFill="1" applyAlignment="1">
      <alignment horizontal="center"/>
    </xf>
    <xf numFmtId="0" fontId="76" fillId="19" borderId="14" xfId="22" applyFont="1" applyFill="1" applyBorder="1" applyAlignment="1">
      <alignment horizontal="center"/>
    </xf>
    <xf numFmtId="0" fontId="77" fillId="20" borderId="0" xfId="21" applyFill="1" applyBorder="1" applyAlignment="1">
      <alignment horizontal="left"/>
    </xf>
    <xf numFmtId="166" fontId="3" fillId="0" borderId="11" xfId="22" applyNumberFormat="1" applyBorder="1" applyAlignment="1">
      <alignment horizontal="center"/>
    </xf>
    <xf numFmtId="166" fontId="3" fillId="0" borderId="0" xfId="22" applyNumberFormat="1" applyAlignment="1">
      <alignment horizontal="center"/>
    </xf>
    <xf numFmtId="166" fontId="76" fillId="0" borderId="16" xfId="22" applyNumberFormat="1" applyFont="1" applyBorder="1" applyAlignment="1">
      <alignment horizontal="center"/>
    </xf>
    <xf numFmtId="164" fontId="3" fillId="0" borderId="0" xfId="22" applyNumberFormat="1" applyAlignment="1">
      <alignment horizontal="center"/>
    </xf>
    <xf numFmtId="164" fontId="76" fillId="0" borderId="16" xfId="2" applyNumberFormat="1" applyFont="1" applyBorder="1" applyAlignment="1">
      <alignment horizontal="center"/>
    </xf>
    <xf numFmtId="164" fontId="76" fillId="0" borderId="16" xfId="22" applyNumberFormat="1" applyFont="1" applyBorder="1" applyAlignment="1">
      <alignment horizontal="center"/>
    </xf>
    <xf numFmtId="9" fontId="76" fillId="0" borderId="16" xfId="1" applyFont="1" applyBorder="1" applyAlignment="1">
      <alignment horizontal="center"/>
    </xf>
    <xf numFmtId="0" fontId="78" fillId="0" borderId="0" xfId="22" applyFont="1" applyAlignment="1">
      <alignment horizontal="center"/>
    </xf>
    <xf numFmtId="0" fontId="79" fillId="0" borderId="0" xfId="22" applyFont="1" applyAlignment="1">
      <alignment horizontal="center"/>
    </xf>
    <xf numFmtId="177" fontId="79" fillId="0" borderId="0" xfId="23" applyNumberFormat="1" applyFont="1" applyFill="1" applyBorder="1" applyAlignment="1">
      <alignment horizontal="center"/>
    </xf>
    <xf numFmtId="2" fontId="79" fillId="0" borderId="0" xfId="22" applyNumberFormat="1" applyFont="1" applyAlignment="1">
      <alignment horizontal="center"/>
    </xf>
    <xf numFmtId="0" fontId="59" fillId="0" borderId="0" xfId="14" applyFill="1" applyBorder="1"/>
    <xf numFmtId="1" fontId="78" fillId="0" borderId="0" xfId="22" applyNumberFormat="1" applyFont="1" applyAlignment="1">
      <alignment horizontal="center"/>
    </xf>
    <xf numFmtId="164" fontId="78" fillId="0" borderId="0" xfId="22" applyNumberFormat="1" applyFont="1" applyAlignment="1">
      <alignment horizontal="center"/>
    </xf>
    <xf numFmtId="10" fontId="79" fillId="0" borderId="0" xfId="22" applyNumberFormat="1" applyFont="1" applyAlignment="1">
      <alignment horizontal="center"/>
    </xf>
    <xf numFmtId="3" fontId="79" fillId="0" borderId="0" xfId="22" applyNumberFormat="1" applyFont="1" applyAlignment="1">
      <alignment horizontal="center"/>
    </xf>
    <xf numFmtId="9" fontId="79" fillId="0" borderId="0" xfId="1" applyFont="1" applyFill="1" applyBorder="1" applyAlignment="1">
      <alignment horizontal="center"/>
    </xf>
    <xf numFmtId="9" fontId="78" fillId="0" borderId="0" xfId="1" applyFont="1" applyFill="1" applyBorder="1" applyAlignment="1">
      <alignment horizontal="center"/>
    </xf>
    <xf numFmtId="0" fontId="78" fillId="0" borderId="10" xfId="22" applyFont="1" applyBorder="1" applyAlignment="1">
      <alignment horizontal="center"/>
    </xf>
    <xf numFmtId="0" fontId="78" fillId="0" borderId="11" xfId="22" applyFont="1" applyBorder="1" applyAlignment="1">
      <alignment horizontal="center"/>
    </xf>
    <xf numFmtId="10" fontId="78" fillId="0" borderId="11" xfId="22" applyNumberFormat="1" applyFont="1" applyBorder="1" applyAlignment="1">
      <alignment horizontal="center"/>
    </xf>
    <xf numFmtId="0" fontId="79" fillId="0" borderId="13" xfId="22" applyFont="1" applyBorder="1" applyAlignment="1">
      <alignment horizontal="center"/>
    </xf>
    <xf numFmtId="0" fontId="79" fillId="0" borderId="15" xfId="22" applyFont="1" applyBorder="1" applyAlignment="1">
      <alignment horizontal="center"/>
    </xf>
    <xf numFmtId="0" fontId="79" fillId="0" borderId="16" xfId="22" applyFont="1" applyBorder="1" applyAlignment="1">
      <alignment horizontal="center"/>
    </xf>
    <xf numFmtId="3" fontId="79" fillId="0" borderId="16" xfId="22" applyNumberFormat="1" applyFont="1" applyBorder="1" applyAlignment="1">
      <alignment horizontal="center"/>
    </xf>
    <xf numFmtId="177" fontId="79" fillId="0" borderId="16" xfId="23" applyNumberFormat="1" applyFont="1" applyFill="1" applyBorder="1" applyAlignment="1">
      <alignment horizontal="center"/>
    </xf>
    <xf numFmtId="9" fontId="79" fillId="0" borderId="16" xfId="1" applyFont="1" applyFill="1" applyBorder="1" applyAlignment="1">
      <alignment horizontal="center"/>
    </xf>
    <xf numFmtId="10" fontId="79" fillId="0" borderId="16" xfId="22" applyNumberFormat="1" applyFont="1" applyBorder="1" applyAlignment="1">
      <alignment horizontal="center"/>
    </xf>
    <xf numFmtId="0" fontId="3" fillId="0" borderId="16" xfId="22" applyBorder="1"/>
    <xf numFmtId="0" fontId="3" fillId="0" borderId="14" xfId="22" applyBorder="1"/>
    <xf numFmtId="0" fontId="78" fillId="0" borderId="15" xfId="22" applyFont="1" applyBorder="1" applyAlignment="1">
      <alignment horizontal="center"/>
    </xf>
    <xf numFmtId="0" fontId="78" fillId="0" borderId="16" xfId="22" applyFont="1" applyBorder="1" applyAlignment="1">
      <alignment horizontal="center"/>
    </xf>
    <xf numFmtId="177" fontId="78" fillId="0" borderId="16" xfId="23" applyNumberFormat="1" applyFont="1" applyFill="1" applyBorder="1" applyAlignment="1">
      <alignment horizontal="center"/>
    </xf>
    <xf numFmtId="9" fontId="78" fillId="0" borderId="16" xfId="1" applyFont="1" applyFill="1" applyBorder="1" applyAlignment="1">
      <alignment horizontal="center"/>
    </xf>
    <xf numFmtId="10" fontId="78" fillId="0" borderId="16" xfId="22" applyNumberFormat="1" applyFont="1" applyBorder="1" applyAlignment="1">
      <alignment horizontal="center"/>
    </xf>
    <xf numFmtId="10" fontId="3" fillId="0" borderId="12" xfId="22" applyNumberFormat="1" applyBorder="1" applyAlignment="1">
      <alignment horizontal="center"/>
    </xf>
    <xf numFmtId="10" fontId="3" fillId="0" borderId="14" xfId="22" applyNumberFormat="1" applyBorder="1" applyAlignment="1">
      <alignment horizontal="center"/>
    </xf>
    <xf numFmtId="10" fontId="3" fillId="0" borderId="17" xfId="22" applyNumberFormat="1" applyBorder="1" applyAlignment="1">
      <alignment horizontal="center"/>
    </xf>
    <xf numFmtId="3" fontId="3" fillId="0" borderId="0" xfId="22" applyNumberFormat="1"/>
    <xf numFmtId="166" fontId="3" fillId="0" borderId="16" xfId="22" applyNumberFormat="1" applyBorder="1" applyAlignment="1">
      <alignment horizontal="center"/>
    </xf>
    <xf numFmtId="166" fontId="78" fillId="0" borderId="11" xfId="22" applyNumberFormat="1" applyFont="1" applyBorder="1" applyAlignment="1">
      <alignment horizontal="center"/>
    </xf>
    <xf numFmtId="166" fontId="79" fillId="0" borderId="0" xfId="22" applyNumberFormat="1" applyFont="1" applyAlignment="1">
      <alignment horizontal="center"/>
    </xf>
    <xf numFmtId="166" fontId="79" fillId="0" borderId="16" xfId="22" applyNumberFormat="1" applyFont="1" applyBorder="1" applyAlignment="1">
      <alignment horizontal="center"/>
    </xf>
    <xf numFmtId="3" fontId="78" fillId="0" borderId="16" xfId="22" applyNumberFormat="1" applyFont="1" applyBorder="1" applyAlignment="1">
      <alignment horizontal="center"/>
    </xf>
    <xf numFmtId="166" fontId="3" fillId="0" borderId="0" xfId="22" applyNumberFormat="1"/>
    <xf numFmtId="165" fontId="3" fillId="0" borderId="14" xfId="22" applyNumberFormat="1" applyBorder="1" applyAlignment="1">
      <alignment horizontal="center"/>
    </xf>
    <xf numFmtId="165" fontId="76" fillId="0" borderId="17" xfId="22" applyNumberFormat="1" applyFont="1" applyBorder="1" applyAlignment="1">
      <alignment horizontal="center"/>
    </xf>
    <xf numFmtId="2" fontId="79" fillId="0" borderId="16" xfId="22" applyNumberFormat="1" applyFont="1" applyBorder="1" applyAlignment="1">
      <alignment horizontal="center"/>
    </xf>
    <xf numFmtId="0" fontId="77" fillId="0" borderId="0" xfId="21" applyFill="1" applyBorder="1"/>
    <xf numFmtId="0" fontId="78" fillId="19" borderId="0" xfId="22" applyFont="1" applyFill="1" applyAlignment="1">
      <alignment horizontal="center"/>
    </xf>
    <xf numFmtId="164" fontId="79" fillId="0" borderId="0" xfId="22" applyNumberFormat="1" applyFont="1" applyAlignment="1">
      <alignment horizontal="center"/>
    </xf>
    <xf numFmtId="9" fontId="80" fillId="0" borderId="0" xfId="1" applyFont="1" applyFill="1" applyBorder="1" applyAlignment="1">
      <alignment horizontal="center"/>
    </xf>
    <xf numFmtId="1" fontId="79" fillId="0" borderId="0" xfId="23" applyNumberFormat="1" applyFont="1" applyFill="1" applyBorder="1" applyAlignment="1">
      <alignment horizontal="center"/>
    </xf>
    <xf numFmtId="3" fontId="79" fillId="0" borderId="0" xfId="2" applyNumberFormat="1" applyFont="1" applyFill="1" applyBorder="1" applyAlignment="1">
      <alignment horizontal="center"/>
    </xf>
    <xf numFmtId="3" fontId="78" fillId="0" borderId="0" xfId="2" applyNumberFormat="1" applyFont="1" applyFill="1" applyBorder="1" applyAlignment="1">
      <alignment horizontal="center"/>
    </xf>
    <xf numFmtId="0" fontId="19" fillId="12" borderId="12" xfId="22" applyFont="1" applyFill="1" applyBorder="1" applyAlignment="1">
      <alignment horizontal="centerContinuous"/>
    </xf>
    <xf numFmtId="0" fontId="19" fillId="12" borderId="14" xfId="22" applyFont="1" applyFill="1" applyBorder="1" applyAlignment="1">
      <alignment horizontal="centerContinuous"/>
    </xf>
    <xf numFmtId="0" fontId="78" fillId="19" borderId="13" xfId="22" applyFont="1" applyFill="1" applyBorder="1" applyAlignment="1">
      <alignment horizontal="center"/>
    </xf>
    <xf numFmtId="3" fontId="79" fillId="0" borderId="16" xfId="2" applyNumberFormat="1" applyFont="1" applyFill="1" applyBorder="1" applyAlignment="1">
      <alignment horizontal="center"/>
    </xf>
    <xf numFmtId="1" fontId="79" fillId="0" borderId="16" xfId="23" applyNumberFormat="1" applyFont="1" applyFill="1" applyBorder="1" applyAlignment="1">
      <alignment horizontal="center"/>
    </xf>
    <xf numFmtId="0" fontId="3" fillId="0" borderId="17" xfId="22" applyBorder="1"/>
    <xf numFmtId="0" fontId="78" fillId="0" borderId="13" xfId="22" applyFont="1" applyBorder="1" applyAlignment="1">
      <alignment horizontal="center"/>
    </xf>
    <xf numFmtId="0" fontId="3" fillId="0" borderId="15" xfId="22" applyBorder="1"/>
    <xf numFmtId="0" fontId="80" fillId="0" borderId="0" xfId="22" applyFont="1" applyAlignment="1">
      <alignment horizontal="center"/>
    </xf>
    <xf numFmtId="3" fontId="80" fillId="0" borderId="0" xfId="2" applyNumberFormat="1" applyFont="1" applyFill="1" applyBorder="1" applyAlignment="1">
      <alignment horizontal="center"/>
    </xf>
    <xf numFmtId="0" fontId="76" fillId="0" borderId="0" xfId="22" applyFont="1" applyAlignment="1">
      <alignment horizontal="center"/>
    </xf>
    <xf numFmtId="10" fontId="76" fillId="0" borderId="14" xfId="1" applyNumberFormat="1" applyFont="1" applyFill="1" applyBorder="1" applyAlignment="1">
      <alignment horizontal="center"/>
    </xf>
    <xf numFmtId="3" fontId="3" fillId="0" borderId="0" xfId="22" applyNumberFormat="1" applyAlignment="1">
      <alignment horizontal="center"/>
    </xf>
    <xf numFmtId="3" fontId="76" fillId="0" borderId="0" xfId="22" applyNumberFormat="1" applyFont="1" applyAlignment="1">
      <alignment horizontal="center"/>
    </xf>
    <xf numFmtId="164" fontId="79" fillId="0" borderId="0" xfId="23" applyNumberFormat="1" applyFont="1" applyFill="1" applyBorder="1" applyAlignment="1">
      <alignment horizontal="center"/>
    </xf>
    <xf numFmtId="164" fontId="79" fillId="0" borderId="16" xfId="22" applyNumberFormat="1" applyFont="1" applyBorder="1" applyAlignment="1">
      <alignment horizontal="center"/>
    </xf>
    <xf numFmtId="164" fontId="3" fillId="0" borderId="16" xfId="22" applyNumberFormat="1" applyBorder="1" applyAlignment="1">
      <alignment horizontal="center"/>
    </xf>
    <xf numFmtId="2" fontId="78" fillId="0" borderId="16" xfId="22" applyNumberFormat="1" applyFont="1" applyBorder="1" applyAlignment="1">
      <alignment horizontal="center"/>
    </xf>
    <xf numFmtId="164" fontId="78" fillId="0" borderId="16" xfId="23" applyNumberFormat="1" applyFont="1" applyFill="1" applyBorder="1" applyAlignment="1">
      <alignment horizontal="center"/>
    </xf>
    <xf numFmtId="10" fontId="76" fillId="0" borderId="17" xfId="1" applyNumberFormat="1" applyFont="1" applyFill="1" applyBorder="1"/>
    <xf numFmtId="0" fontId="19" fillId="0" borderId="0" xfId="22" applyFont="1" applyAlignment="1">
      <alignment horizontal="centerContinuous"/>
    </xf>
    <xf numFmtId="10" fontId="79" fillId="0" borderId="12" xfId="22" applyNumberFormat="1" applyFont="1" applyBorder="1" applyAlignment="1">
      <alignment horizontal="center"/>
    </xf>
    <xf numFmtId="10" fontId="79" fillId="0" borderId="11" xfId="22" applyNumberFormat="1" applyFont="1" applyBorder="1" applyAlignment="1">
      <alignment horizontal="center"/>
    </xf>
    <xf numFmtId="0" fontId="79" fillId="0" borderId="14" xfId="22" applyFont="1" applyBorder="1" applyAlignment="1">
      <alignment horizontal="center"/>
    </xf>
    <xf numFmtId="10" fontId="79" fillId="0" borderId="14" xfId="22" applyNumberFormat="1" applyFont="1" applyBorder="1" applyAlignment="1">
      <alignment horizontal="center"/>
    </xf>
    <xf numFmtId="0" fontId="79" fillId="0" borderId="11" xfId="22" applyFont="1" applyBorder="1" applyAlignment="1">
      <alignment horizontal="center"/>
    </xf>
    <xf numFmtId="1" fontId="79" fillId="0" borderId="0" xfId="22" applyNumberFormat="1" applyFont="1" applyAlignment="1">
      <alignment horizontal="center"/>
    </xf>
    <xf numFmtId="0" fontId="79" fillId="0" borderId="0" xfId="22" applyFont="1" applyAlignment="1">
      <alignment horizontal="left"/>
    </xf>
    <xf numFmtId="166" fontId="78" fillId="0" borderId="0" xfId="22" applyNumberFormat="1" applyFont="1" applyAlignment="1">
      <alignment horizontal="center"/>
    </xf>
    <xf numFmtId="0" fontId="80" fillId="0" borderId="0" xfId="22" applyFont="1"/>
    <xf numFmtId="0" fontId="78" fillId="19" borderId="40" xfId="22" applyFont="1" applyFill="1" applyBorder="1" applyAlignment="1">
      <alignment horizontal="center"/>
    </xf>
    <xf numFmtId="0" fontId="78" fillId="19" borderId="12" xfId="22" applyFont="1" applyFill="1" applyBorder="1" applyAlignment="1">
      <alignment horizontal="center"/>
    </xf>
    <xf numFmtId="0" fontId="78" fillId="19" borderId="10" xfId="22" applyFont="1" applyFill="1" applyBorder="1" applyAlignment="1">
      <alignment horizontal="center"/>
    </xf>
    <xf numFmtId="0" fontId="79" fillId="0" borderId="10" xfId="22" applyFont="1" applyBorder="1" applyAlignment="1">
      <alignment horizontal="center"/>
    </xf>
    <xf numFmtId="2" fontId="79" fillId="0" borderId="11" xfId="22" applyNumberFormat="1" applyFont="1" applyBorder="1" applyAlignment="1">
      <alignment horizontal="center"/>
    </xf>
    <xf numFmtId="10" fontId="79" fillId="0" borderId="17" xfId="22" applyNumberFormat="1" applyFont="1" applyBorder="1" applyAlignment="1">
      <alignment horizontal="center"/>
    </xf>
    <xf numFmtId="10" fontId="78" fillId="0" borderId="17" xfId="22" applyNumberFormat="1" applyFont="1" applyBorder="1" applyAlignment="1">
      <alignment horizontal="center"/>
    </xf>
    <xf numFmtId="166" fontId="78" fillId="0" borderId="16" xfId="22" applyNumberFormat="1" applyFont="1" applyBorder="1" applyAlignment="1">
      <alignment horizontal="center"/>
    </xf>
    <xf numFmtId="164" fontId="79" fillId="0" borderId="11" xfId="22" applyNumberFormat="1" applyFont="1" applyBorder="1" applyAlignment="1">
      <alignment horizontal="center"/>
    </xf>
    <xf numFmtId="164" fontId="78" fillId="0" borderId="16" xfId="22" applyNumberFormat="1" applyFont="1" applyBorder="1" applyAlignment="1">
      <alignment horizontal="center"/>
    </xf>
    <xf numFmtId="1" fontId="79" fillId="0" borderId="11" xfId="23" applyNumberFormat="1" applyFont="1" applyFill="1" applyBorder="1" applyAlignment="1">
      <alignment horizontal="center"/>
    </xf>
    <xf numFmtId="1" fontId="78" fillId="0" borderId="16" xfId="23" applyNumberFormat="1" applyFont="1" applyFill="1" applyBorder="1" applyAlignment="1">
      <alignment horizontal="center"/>
    </xf>
    <xf numFmtId="166" fontId="79" fillId="0" borderId="11" xfId="2" applyNumberFormat="1" applyFont="1" applyFill="1" applyBorder="1" applyAlignment="1">
      <alignment horizontal="center"/>
    </xf>
    <xf numFmtId="166" fontId="79" fillId="0" borderId="0" xfId="2" applyNumberFormat="1" applyFont="1" applyFill="1" applyBorder="1" applyAlignment="1">
      <alignment horizontal="center"/>
    </xf>
    <xf numFmtId="166" fontId="79" fillId="0" borderId="16" xfId="2" applyNumberFormat="1" applyFont="1" applyFill="1" applyBorder="1" applyAlignment="1">
      <alignment horizontal="center"/>
    </xf>
    <xf numFmtId="166" fontId="78" fillId="0" borderId="16" xfId="2" applyNumberFormat="1" applyFont="1" applyFill="1" applyBorder="1" applyAlignment="1">
      <alignment horizontal="center"/>
    </xf>
    <xf numFmtId="0" fontId="78" fillId="19" borderId="37" xfId="22" applyFont="1" applyFill="1" applyBorder="1" applyAlignment="1">
      <alignment horizontal="center"/>
    </xf>
    <xf numFmtId="0" fontId="78" fillId="19" borderId="34" xfId="22" applyFont="1" applyFill="1" applyBorder="1" applyAlignment="1">
      <alignment horizontal="center"/>
    </xf>
    <xf numFmtId="0" fontId="76" fillId="19" borderId="34" xfId="22" applyFont="1" applyFill="1" applyBorder="1"/>
    <xf numFmtId="0" fontId="76" fillId="19" borderId="38" xfId="22" applyFont="1" applyFill="1" applyBorder="1"/>
    <xf numFmtId="10" fontId="79" fillId="0" borderId="14" xfId="1" applyNumberFormat="1" applyFont="1" applyFill="1" applyBorder="1" applyAlignment="1">
      <alignment horizontal="center"/>
    </xf>
    <xf numFmtId="10" fontId="79" fillId="0" borderId="17" xfId="1" applyNumberFormat="1" applyFont="1" applyFill="1" applyBorder="1" applyAlignment="1">
      <alignment horizontal="center"/>
    </xf>
    <xf numFmtId="10" fontId="79" fillId="0" borderId="0" xfId="1" applyNumberFormat="1" applyFont="1" applyFill="1" applyBorder="1" applyAlignment="1">
      <alignment horizontal="center"/>
    </xf>
    <xf numFmtId="10" fontId="78" fillId="0" borderId="17" xfId="1" applyNumberFormat="1" applyFont="1" applyFill="1" applyBorder="1" applyAlignment="1">
      <alignment horizontal="center"/>
    </xf>
    <xf numFmtId="0" fontId="78" fillId="15" borderId="0" xfId="22" applyFont="1" applyFill="1" applyAlignment="1">
      <alignment horizontal="center"/>
    </xf>
    <xf numFmtId="0" fontId="78" fillId="15" borderId="13" xfId="22" applyFont="1" applyFill="1" applyBorder="1" applyAlignment="1">
      <alignment horizontal="center"/>
    </xf>
    <xf numFmtId="0" fontId="78" fillId="15" borderId="14" xfId="22" applyFont="1" applyFill="1" applyBorder="1" applyAlignment="1">
      <alignment horizontal="center"/>
    </xf>
    <xf numFmtId="0" fontId="79" fillId="0" borderId="13" xfId="22" applyFont="1" applyBorder="1" applyAlignment="1">
      <alignment horizontal="left"/>
    </xf>
    <xf numFmtId="166" fontId="79" fillId="0" borderId="0" xfId="24" applyNumberFormat="1" applyFont="1" applyFill="1" applyBorder="1" applyAlignment="1">
      <alignment horizontal="center"/>
    </xf>
    <xf numFmtId="166" fontId="79" fillId="0" borderId="16" xfId="24" applyNumberFormat="1" applyFont="1" applyFill="1" applyBorder="1" applyAlignment="1">
      <alignment horizontal="center"/>
    </xf>
    <xf numFmtId="1" fontId="79" fillId="0" borderId="16" xfId="22" applyNumberFormat="1" applyFont="1" applyBorder="1" applyAlignment="1">
      <alignment horizontal="center"/>
    </xf>
    <xf numFmtId="1" fontId="79" fillId="0" borderId="0" xfId="1" applyNumberFormat="1" applyFont="1" applyFill="1" applyBorder="1" applyAlignment="1">
      <alignment horizontal="center"/>
    </xf>
    <xf numFmtId="1" fontId="78" fillId="15" borderId="0" xfId="22" applyNumberFormat="1" applyFont="1" applyFill="1" applyAlignment="1">
      <alignment horizontal="center"/>
    </xf>
    <xf numFmtId="191" fontId="79" fillId="0" borderId="14" xfId="1" applyNumberFormat="1" applyFont="1" applyFill="1" applyBorder="1" applyAlignment="1">
      <alignment horizontal="center"/>
    </xf>
    <xf numFmtId="191" fontId="79" fillId="0" borderId="17" xfId="1" applyNumberFormat="1" applyFont="1" applyFill="1" applyBorder="1" applyAlignment="1">
      <alignment horizontal="center"/>
    </xf>
    <xf numFmtId="9" fontId="3" fillId="20" borderId="0" xfId="22" applyNumberFormat="1" applyFill="1" applyAlignment="1">
      <alignment horizontal="center"/>
    </xf>
    <xf numFmtId="0" fontId="78" fillId="0" borderId="15" xfId="22" applyFont="1" applyBorder="1" applyAlignment="1">
      <alignment horizontal="left"/>
    </xf>
    <xf numFmtId="1" fontId="78" fillId="0" borderId="16" xfId="22" applyNumberFormat="1" applyFont="1" applyBorder="1" applyAlignment="1">
      <alignment horizontal="center"/>
    </xf>
    <xf numFmtId="166" fontId="78" fillId="0" borderId="16" xfId="24" applyNumberFormat="1" applyFont="1" applyFill="1" applyBorder="1" applyAlignment="1">
      <alignment horizontal="center"/>
    </xf>
    <xf numFmtId="191" fontId="78" fillId="0" borderId="17" xfId="1" applyNumberFormat="1" applyFont="1" applyFill="1" applyBorder="1" applyAlignment="1">
      <alignment horizontal="center"/>
    </xf>
    <xf numFmtId="0" fontId="12" fillId="15" borderId="10" xfId="0" applyFont="1" applyFill="1" applyBorder="1"/>
    <xf numFmtId="0" fontId="12" fillId="15" borderId="11" xfId="0" applyFont="1" applyFill="1" applyBorder="1"/>
    <xf numFmtId="0" fontId="12" fillId="15" borderId="12" xfId="0" applyFont="1" applyFill="1" applyBorder="1"/>
    <xf numFmtId="177" fontId="0" fillId="0" borderId="13" xfId="2" applyNumberFormat="1" applyFont="1" applyBorder="1" applyAlignment="1">
      <alignment horizontal="center"/>
    </xf>
    <xf numFmtId="177" fontId="0" fillId="0" borderId="0" xfId="2" applyNumberFormat="1" applyFont="1" applyBorder="1" applyAlignment="1">
      <alignment horizontal="center"/>
    </xf>
    <xf numFmtId="3" fontId="0" fillId="0" borderId="0" xfId="0" applyNumberFormat="1"/>
    <xf numFmtId="190" fontId="0" fillId="0" borderId="0" xfId="0" applyNumberFormat="1"/>
    <xf numFmtId="190" fontId="0" fillId="0" borderId="14" xfId="0" applyNumberFormat="1" applyBorder="1"/>
    <xf numFmtId="177" fontId="0" fillId="0" borderId="15" xfId="2" applyNumberFormat="1" applyFont="1" applyBorder="1" applyAlignment="1">
      <alignment horizontal="center"/>
    </xf>
    <xf numFmtId="177" fontId="0" fillId="0" borderId="16" xfId="2" applyNumberFormat="1" applyFont="1" applyBorder="1" applyAlignment="1">
      <alignment horizontal="center"/>
    </xf>
    <xf numFmtId="3" fontId="0" fillId="0" borderId="16" xfId="0" applyNumberFormat="1" applyBorder="1"/>
    <xf numFmtId="190" fontId="0" fillId="0" borderId="16" xfId="0" applyNumberFormat="1" applyBorder="1"/>
    <xf numFmtId="9" fontId="0" fillId="0" borderId="16" xfId="1" applyFont="1" applyBorder="1"/>
    <xf numFmtId="164" fontId="0" fillId="0" borderId="16" xfId="0" applyNumberFormat="1" applyBorder="1" applyAlignment="1">
      <alignment horizontal="center"/>
    </xf>
    <xf numFmtId="166" fontId="0" fillId="0" borderId="16" xfId="0" applyNumberFormat="1" applyBorder="1" applyAlignment="1">
      <alignment horizontal="center"/>
    </xf>
    <xf numFmtId="190" fontId="0" fillId="0" borderId="17" xfId="0" applyNumberFormat="1" applyBorder="1"/>
    <xf numFmtId="189" fontId="0" fillId="0" borderId="0" xfId="0" applyNumberFormat="1"/>
    <xf numFmtId="0" fontId="12" fillId="0" borderId="15" xfId="0" applyFont="1" applyBorder="1"/>
    <xf numFmtId="189" fontId="12" fillId="0" borderId="16" xfId="0" applyNumberFormat="1" applyFont="1" applyBorder="1"/>
    <xf numFmtId="3" fontId="12" fillId="0" borderId="16" xfId="0" applyNumberFormat="1" applyFont="1" applyBorder="1"/>
    <xf numFmtId="190" fontId="12" fillId="0" borderId="16" xfId="0" applyNumberFormat="1" applyFont="1" applyBorder="1"/>
    <xf numFmtId="9" fontId="12" fillId="0" borderId="16" xfId="1" applyFont="1" applyBorder="1"/>
    <xf numFmtId="164" fontId="12" fillId="0" borderId="16" xfId="0" applyNumberFormat="1" applyFont="1" applyBorder="1" applyAlignment="1">
      <alignment horizontal="center"/>
    </xf>
    <xf numFmtId="166" fontId="12" fillId="0" borderId="16" xfId="0" applyNumberFormat="1" applyFont="1" applyBorder="1" applyAlignment="1">
      <alignment horizontal="center"/>
    </xf>
    <xf numFmtId="190" fontId="12" fillId="0" borderId="17" xfId="0" applyNumberFormat="1" applyFont="1" applyBorder="1"/>
    <xf numFmtId="2" fontId="0" fillId="0" borderId="13" xfId="0" applyNumberFormat="1" applyBorder="1"/>
    <xf numFmtId="2" fontId="0" fillId="0" borderId="0" xfId="0" applyNumberFormat="1"/>
    <xf numFmtId="166" fontId="12" fillId="0" borderId="16" xfId="0" applyNumberFormat="1" applyFont="1" applyBorder="1"/>
    <xf numFmtId="2" fontId="0" fillId="0" borderId="15" xfId="0" applyNumberFormat="1" applyBorder="1"/>
    <xf numFmtId="2" fontId="0" fillId="0" borderId="16" xfId="0" applyNumberFormat="1" applyBorder="1"/>
    <xf numFmtId="166" fontId="0" fillId="0" borderId="16" xfId="0" applyNumberFormat="1" applyBorder="1"/>
    <xf numFmtId="0" fontId="78" fillId="0" borderId="12" xfId="22" applyFont="1" applyBorder="1" applyAlignment="1">
      <alignment horizontal="center"/>
    </xf>
    <xf numFmtId="9" fontId="78" fillId="0" borderId="11" xfId="1" applyFont="1" applyFill="1" applyBorder="1" applyAlignment="1">
      <alignment horizontal="center"/>
    </xf>
    <xf numFmtId="1" fontId="80" fillId="0" borderId="0" xfId="22" applyNumberFormat="1" applyFont="1"/>
    <xf numFmtId="0" fontId="78" fillId="0" borderId="17" xfId="22" applyFont="1" applyBorder="1" applyAlignment="1">
      <alignment horizontal="center"/>
    </xf>
    <xf numFmtId="9" fontId="79" fillId="0" borderId="14" xfId="1" applyFont="1" applyFill="1" applyBorder="1" applyAlignment="1">
      <alignment horizontal="center"/>
    </xf>
    <xf numFmtId="9" fontId="79" fillId="0" borderId="17" xfId="1" applyFont="1" applyFill="1" applyBorder="1" applyAlignment="1">
      <alignment horizontal="center"/>
    </xf>
    <xf numFmtId="9" fontId="76" fillId="20" borderId="11" xfId="22" applyNumberFormat="1" applyFont="1" applyFill="1" applyBorder="1" applyAlignment="1">
      <alignment horizontal="center"/>
    </xf>
    <xf numFmtId="10" fontId="76" fillId="0" borderId="17" xfId="1" applyNumberFormat="1" applyFont="1" applyBorder="1" applyAlignment="1">
      <alignment horizontal="center"/>
    </xf>
    <xf numFmtId="9" fontId="3" fillId="20" borderId="16" xfId="22" applyNumberFormat="1" applyFill="1" applyBorder="1" applyAlignment="1">
      <alignment horizontal="center"/>
    </xf>
    <xf numFmtId="2" fontId="76" fillId="0" borderId="16" xfId="2" applyNumberFormat="1" applyFont="1" applyBorder="1" applyAlignment="1">
      <alignment horizontal="center"/>
    </xf>
    <xf numFmtId="2" fontId="3" fillId="0" borderId="11" xfId="22" applyNumberFormat="1" applyBorder="1" applyAlignment="1">
      <alignment horizontal="center"/>
    </xf>
    <xf numFmtId="2" fontId="3" fillId="0" borderId="0" xfId="22" applyNumberFormat="1" applyAlignment="1">
      <alignment horizontal="center"/>
    </xf>
    <xf numFmtId="2" fontId="3" fillId="0" borderId="16" xfId="22" applyNumberFormat="1" applyBorder="1" applyAlignment="1">
      <alignment horizontal="center"/>
    </xf>
    <xf numFmtId="0" fontId="3" fillId="26" borderId="13" xfId="22" applyFill="1" applyBorder="1" applyAlignment="1">
      <alignment horizontal="left"/>
    </xf>
    <xf numFmtId="0" fontId="3" fillId="26" borderId="0" xfId="22" applyFill="1" applyAlignment="1">
      <alignment horizontal="center"/>
    </xf>
    <xf numFmtId="10" fontId="3" fillId="26" borderId="0" xfId="22" applyNumberFormat="1" applyFill="1" applyAlignment="1">
      <alignment horizontal="center"/>
    </xf>
    <xf numFmtId="164" fontId="3" fillId="26" borderId="0" xfId="22" applyNumberFormat="1" applyFill="1" applyAlignment="1">
      <alignment horizontal="left"/>
    </xf>
    <xf numFmtId="166" fontId="3" fillId="26" borderId="0" xfId="22" applyNumberFormat="1" applyFill="1" applyAlignment="1">
      <alignment horizontal="left"/>
    </xf>
    <xf numFmtId="0" fontId="3" fillId="26" borderId="14" xfId="22" applyFill="1" applyBorder="1" applyAlignment="1">
      <alignment horizontal="center"/>
    </xf>
    <xf numFmtId="0" fontId="3" fillId="27" borderId="0" xfId="22" applyFill="1" applyAlignment="1">
      <alignment horizontal="center"/>
    </xf>
    <xf numFmtId="164" fontId="3" fillId="27" borderId="0" xfId="22" applyNumberFormat="1" applyFill="1" applyAlignment="1">
      <alignment horizontal="left"/>
    </xf>
    <xf numFmtId="166" fontId="3" fillId="27" borderId="0" xfId="22" applyNumberFormat="1" applyFill="1" applyAlignment="1">
      <alignment horizontal="left"/>
    </xf>
    <xf numFmtId="0" fontId="3" fillId="27" borderId="14" xfId="22" applyFill="1" applyBorder="1" applyAlignment="1">
      <alignment horizontal="center"/>
    </xf>
    <xf numFmtId="10" fontId="3" fillId="27" borderId="0" xfId="22" applyNumberFormat="1" applyFill="1" applyAlignment="1">
      <alignment horizontal="center"/>
    </xf>
    <xf numFmtId="0" fontId="73" fillId="28" borderId="0" xfId="0" applyFont="1" applyFill="1"/>
    <xf numFmtId="0" fontId="73" fillId="28" borderId="0" xfId="0" applyFont="1" applyFill="1" applyAlignment="1">
      <alignment horizontal="center"/>
    </xf>
    <xf numFmtId="164" fontId="69" fillId="29" borderId="0" xfId="0" applyNumberFormat="1" applyFont="1" applyFill="1" applyAlignment="1">
      <alignment horizontal="center" vertical="center"/>
    </xf>
    <xf numFmtId="9" fontId="69" fillId="0" borderId="0" xfId="1" applyFont="1" applyAlignment="1">
      <alignment vertical="center"/>
    </xf>
    <xf numFmtId="164" fontId="70" fillId="0" borderId="0" xfId="0" applyNumberFormat="1" applyFont="1"/>
    <xf numFmtId="164" fontId="10" fillId="15" borderId="0" xfId="2" applyNumberFormat="1" applyFont="1" applyFill="1" applyBorder="1" applyAlignment="1" applyProtection="1">
      <alignment horizontal="center"/>
      <protection locked="0"/>
    </xf>
    <xf numFmtId="10" fontId="12" fillId="0" borderId="0" xfId="1" applyNumberFormat="1" applyFont="1" applyFill="1" applyBorder="1" applyAlignment="1">
      <alignment horizontal="center"/>
    </xf>
    <xf numFmtId="10" fontId="41" fillId="0" borderId="0" xfId="1" applyNumberFormat="1" applyFont="1" applyFill="1" applyBorder="1" applyAlignment="1" applyProtection="1">
      <alignment horizontal="center"/>
      <protection locked="0"/>
    </xf>
    <xf numFmtId="10" fontId="0" fillId="0" borderId="0" xfId="1" applyNumberFormat="1" applyFont="1" applyFill="1" applyBorder="1" applyAlignment="1">
      <alignment horizontal="center"/>
    </xf>
    <xf numFmtId="0" fontId="19" fillId="12" borderId="2" xfId="0" applyFont="1" applyFill="1" applyBorder="1" applyAlignment="1">
      <alignment horizontal="centerContinuous"/>
    </xf>
    <xf numFmtId="0" fontId="19" fillId="12" borderId="3" xfId="0" applyFont="1" applyFill="1" applyBorder="1" applyAlignment="1">
      <alignment horizontal="centerContinuous"/>
    </xf>
    <xf numFmtId="0" fontId="19" fillId="12" borderId="4" xfId="0" applyFont="1" applyFill="1" applyBorder="1" applyAlignment="1">
      <alignment horizontal="centerContinuous"/>
    </xf>
    <xf numFmtId="9" fontId="10" fillId="0" borderId="0" xfId="1" applyFont="1" applyBorder="1" applyAlignment="1" applyProtection="1">
      <alignment horizontal="center"/>
      <protection locked="0"/>
    </xf>
    <xf numFmtId="9" fontId="0" fillId="0" borderId="6" xfId="1" applyFont="1" applyBorder="1" applyAlignment="1" applyProtection="1">
      <alignment horizontal="center"/>
      <protection locked="0"/>
    </xf>
    <xf numFmtId="9" fontId="0" fillId="0" borderId="6" xfId="0" applyNumberFormat="1" applyBorder="1" applyAlignment="1">
      <alignment horizontal="center"/>
    </xf>
    <xf numFmtId="0" fontId="12" fillId="0" borderId="8" xfId="0" applyFont="1" applyBorder="1"/>
    <xf numFmtId="175" fontId="10" fillId="0" borderId="8" xfId="1" applyNumberFormat="1" applyFont="1" applyBorder="1" applyAlignment="1" applyProtection="1">
      <alignment horizontal="center"/>
      <protection locked="0"/>
    </xf>
    <xf numFmtId="9" fontId="0" fillId="0" borderId="9" xfId="1" applyFont="1" applyBorder="1" applyAlignment="1" applyProtection="1">
      <alignment horizontal="center"/>
      <protection locked="0"/>
    </xf>
    <xf numFmtId="0" fontId="12" fillId="0" borderId="5" xfId="0" applyFont="1" applyBorder="1"/>
    <xf numFmtId="0" fontId="0" fillId="0" borderId="6" xfId="0" applyBorder="1"/>
    <xf numFmtId="164" fontId="0" fillId="0" borderId="0" xfId="2" applyNumberFormat="1" applyFont="1" applyBorder="1" applyAlignment="1">
      <alignment horizontal="center"/>
    </xf>
    <xf numFmtId="164" fontId="0" fillId="0" borderId="6" xfId="2" applyNumberFormat="1" applyFont="1" applyBorder="1" applyAlignment="1">
      <alignment horizontal="center"/>
    </xf>
    <xf numFmtId="0" fontId="0" fillId="0" borderId="5" xfId="0" applyBorder="1" applyAlignment="1">
      <alignment horizontal="left" indent="1"/>
    </xf>
    <xf numFmtId="0" fontId="12" fillId="0" borderId="5" xfId="0" applyFont="1" applyBorder="1" applyAlignment="1">
      <alignment horizontal="left"/>
    </xf>
    <xf numFmtId="0" fontId="0" fillId="19" borderId="43" xfId="0" applyFill="1" applyBorder="1"/>
    <xf numFmtId="164" fontId="0" fillId="19" borderId="44" xfId="0" applyNumberFormat="1" applyFill="1" applyBorder="1" applyAlignment="1">
      <alignment horizontal="center"/>
    </xf>
    <xf numFmtId="165" fontId="0" fillId="0" borderId="0" xfId="1" applyNumberFormat="1" applyFont="1" applyFill="1" applyBorder="1" applyAlignment="1">
      <alignment horizontal="center"/>
    </xf>
    <xf numFmtId="165" fontId="0" fillId="0" borderId="6" xfId="1" applyNumberFormat="1" applyFont="1" applyFill="1" applyBorder="1" applyAlignment="1">
      <alignment horizontal="center"/>
    </xf>
    <xf numFmtId="0" fontId="19" fillId="0" borderId="8" xfId="0" applyFont="1" applyBorder="1" applyAlignment="1">
      <alignment horizontal="center"/>
    </xf>
    <xf numFmtId="165" fontId="24" fillId="0" borderId="8" xfId="0" applyNumberFormat="1" applyFont="1" applyBorder="1" applyAlignment="1">
      <alignment horizontal="center"/>
    </xf>
    <xf numFmtId="164" fontId="0" fillId="0" borderId="8" xfId="0" applyNumberFormat="1" applyBorder="1" applyAlignment="1">
      <alignment horizontal="center"/>
    </xf>
    <xf numFmtId="164" fontId="0" fillId="0" borderId="9" xfId="0" applyNumberFormat="1" applyBorder="1" applyAlignment="1">
      <alignment horizontal="center"/>
    </xf>
    <xf numFmtId="0" fontId="13" fillId="12" borderId="2" xfId="0" applyFont="1" applyFill="1" applyBorder="1"/>
    <xf numFmtId="0" fontId="13" fillId="12" borderId="3" xfId="0" applyFont="1" applyFill="1" applyBorder="1"/>
    <xf numFmtId="0" fontId="13" fillId="12" borderId="3" xfId="0" applyFont="1" applyFill="1" applyBorder="1" applyAlignment="1">
      <alignment horizontal="center"/>
    </xf>
    <xf numFmtId="0" fontId="19" fillId="12" borderId="3" xfId="0" applyFont="1" applyFill="1" applyBorder="1" applyAlignment="1">
      <alignment horizontal="center"/>
    </xf>
    <xf numFmtId="0" fontId="11" fillId="12" borderId="3" xfId="0" applyFont="1" applyFill="1" applyBorder="1" applyAlignment="1">
      <alignment horizontal="center" vertical="center"/>
    </xf>
    <xf numFmtId="0" fontId="13" fillId="12" borderId="5" xfId="0" applyFont="1" applyFill="1" applyBorder="1"/>
    <xf numFmtId="0" fontId="19" fillId="12" borderId="6" xfId="0" applyFont="1" applyFill="1" applyBorder="1" applyAlignment="1">
      <alignment horizontal="center" vertical="center"/>
    </xf>
    <xf numFmtId="0" fontId="12" fillId="4" borderId="5" xfId="0" applyFont="1" applyFill="1" applyBorder="1"/>
    <xf numFmtId="165" fontId="36" fillId="4" borderId="6" xfId="1" applyNumberFormat="1" applyFont="1" applyFill="1" applyBorder="1" applyAlignment="1" applyProtection="1">
      <alignment horizontal="center" vertical="center"/>
    </xf>
    <xf numFmtId="9" fontId="0" fillId="4" borderId="5" xfId="1" applyFont="1" applyFill="1" applyBorder="1"/>
    <xf numFmtId="9" fontId="0" fillId="4" borderId="6" xfId="1" applyFont="1" applyFill="1" applyBorder="1" applyAlignment="1">
      <alignment horizontal="center"/>
    </xf>
    <xf numFmtId="9" fontId="0" fillId="0" borderId="5" xfId="1" applyFont="1" applyBorder="1"/>
    <xf numFmtId="9" fontId="0" fillId="0" borderId="6" xfId="1" applyFont="1" applyBorder="1" applyAlignment="1">
      <alignment horizontal="center"/>
    </xf>
    <xf numFmtId="10" fontId="0" fillId="4" borderId="5" xfId="1" applyNumberFormat="1" applyFont="1" applyFill="1" applyBorder="1"/>
    <xf numFmtId="10" fontId="0" fillId="4" borderId="6" xfId="1" applyNumberFormat="1" applyFont="1" applyFill="1" applyBorder="1" applyAlignment="1">
      <alignment horizontal="center"/>
    </xf>
    <xf numFmtId="0" fontId="12" fillId="2" borderId="5" xfId="0" applyFont="1" applyFill="1" applyBorder="1"/>
    <xf numFmtId="164" fontId="12" fillId="2" borderId="6" xfId="0" applyNumberFormat="1" applyFont="1" applyFill="1" applyBorder="1" applyAlignment="1">
      <alignment horizontal="center"/>
    </xf>
    <xf numFmtId="164" fontId="35" fillId="0" borderId="0" xfId="0" applyNumberFormat="1" applyFont="1" applyAlignment="1">
      <alignment horizontal="center"/>
    </xf>
    <xf numFmtId="165" fontId="36" fillId="0" borderId="6" xfId="1" applyNumberFormat="1" applyFont="1" applyBorder="1" applyAlignment="1" applyProtection="1">
      <alignment horizontal="center" vertical="center"/>
    </xf>
    <xf numFmtId="9" fontId="36" fillId="0" borderId="6" xfId="1" applyFont="1" applyBorder="1" applyAlignment="1" applyProtection="1">
      <alignment horizontal="center" vertical="center"/>
    </xf>
    <xf numFmtId="0" fontId="12" fillId="0" borderId="5" xfId="0" applyFont="1" applyBorder="1" applyAlignment="1">
      <alignment horizontal="center"/>
    </xf>
    <xf numFmtId="0" fontId="0" fillId="4" borderId="6" xfId="0" applyFill="1" applyBorder="1" applyAlignment="1">
      <alignment horizontal="center"/>
    </xf>
    <xf numFmtId="0" fontId="17" fillId="0" borderId="5" xfId="0" applyFont="1" applyBorder="1"/>
    <xf numFmtId="6" fontId="0" fillId="0" borderId="6" xfId="0" applyNumberFormat="1" applyBorder="1" applyAlignment="1">
      <alignment horizontal="center"/>
    </xf>
    <xf numFmtId="0" fontId="17" fillId="4" borderId="5" xfId="0" applyFont="1" applyFill="1" applyBorder="1" applyProtection="1">
      <protection locked="0"/>
    </xf>
    <xf numFmtId="164" fontId="21" fillId="4" borderId="6" xfId="0" applyNumberFormat="1" applyFont="1" applyFill="1" applyBorder="1" applyAlignment="1">
      <alignment horizontal="center"/>
    </xf>
    <xf numFmtId="0" fontId="0" fillId="0" borderId="6" xfId="0" applyBorder="1" applyAlignment="1">
      <alignment horizontal="center"/>
    </xf>
    <xf numFmtId="168" fontId="0" fillId="0" borderId="6" xfId="0" applyNumberFormat="1" applyBorder="1" applyAlignment="1">
      <alignment horizontal="center"/>
    </xf>
    <xf numFmtId="0" fontId="33" fillId="0" borderId="5" xfId="0" applyFont="1" applyBorder="1"/>
    <xf numFmtId="0" fontId="17" fillId="4" borderId="5" xfId="0" applyFont="1" applyFill="1" applyBorder="1"/>
    <xf numFmtId="0" fontId="47" fillId="13" borderId="5" xfId="0" applyFont="1" applyFill="1" applyBorder="1"/>
    <xf numFmtId="164" fontId="0" fillId="13" borderId="6" xfId="0" applyNumberFormat="1" applyFill="1" applyBorder="1" applyAlignment="1">
      <alignment horizontal="center"/>
    </xf>
    <xf numFmtId="0" fontId="47" fillId="0" borderId="5" xfId="0" applyFont="1" applyBorder="1"/>
    <xf numFmtId="168" fontId="35" fillId="0" borderId="6" xfId="0" applyNumberFormat="1" applyFont="1" applyBorder="1" applyAlignment="1">
      <alignment horizontal="center"/>
    </xf>
    <xf numFmtId="168" fontId="35" fillId="4" borderId="6" xfId="2" applyNumberFormat="1" applyFont="1" applyFill="1" applyBorder="1" applyAlignment="1" applyProtection="1">
      <alignment horizontal="center"/>
    </xf>
    <xf numFmtId="9" fontId="35" fillId="4" borderId="6" xfId="1" applyFont="1" applyFill="1" applyBorder="1" applyAlignment="1" applyProtection="1">
      <alignment horizontal="center"/>
    </xf>
    <xf numFmtId="0" fontId="24" fillId="2" borderId="5" xfId="0" applyFont="1" applyFill="1" applyBorder="1"/>
    <xf numFmtId="0" fontId="24" fillId="2" borderId="6" xfId="0" applyFont="1" applyFill="1" applyBorder="1" applyAlignment="1">
      <alignment horizontal="center"/>
    </xf>
    <xf numFmtId="0" fontId="56" fillId="15" borderId="5" xfId="0" applyFont="1" applyFill="1" applyBorder="1" applyAlignment="1">
      <alignment horizontal="right"/>
    </xf>
    <xf numFmtId="0" fontId="24" fillId="15" borderId="0" xfId="0" applyFont="1" applyFill="1" applyAlignment="1">
      <alignment horizontal="center"/>
    </xf>
    <xf numFmtId="9" fontId="24" fillId="15" borderId="0" xfId="1" applyFont="1" applyFill="1" applyBorder="1" applyAlignment="1">
      <alignment horizontal="center"/>
    </xf>
    <xf numFmtId="9" fontId="24" fillId="15" borderId="6" xfId="1" applyFont="1" applyFill="1" applyBorder="1" applyAlignment="1">
      <alignment horizontal="center"/>
    </xf>
    <xf numFmtId="10" fontId="0" fillId="0" borderId="5" xfId="1" applyNumberFormat="1" applyFont="1" applyFill="1" applyBorder="1" applyAlignment="1" applyProtection="1"/>
    <xf numFmtId="177" fontId="0" fillId="0" borderId="0" xfId="2" applyNumberFormat="1" applyFont="1" applyBorder="1" applyProtection="1"/>
    <xf numFmtId="177" fontId="0" fillId="0" borderId="6" xfId="2" applyNumberFormat="1" applyFont="1" applyBorder="1" applyProtection="1"/>
    <xf numFmtId="1" fontId="0" fillId="0" borderId="5" xfId="1" applyNumberFormat="1" applyFont="1" applyFill="1" applyBorder="1" applyAlignment="1" applyProtection="1"/>
    <xf numFmtId="1" fontId="0" fillId="0" borderId="5" xfId="1" applyNumberFormat="1" applyFont="1" applyFill="1" applyBorder="1" applyAlignment="1" applyProtection="1">
      <alignment horizontal="left" indent="1"/>
    </xf>
    <xf numFmtId="164" fontId="0" fillId="0" borderId="5" xfId="0" applyNumberFormat="1" applyBorder="1"/>
    <xf numFmtId="9" fontId="0" fillId="0" borderId="5" xfId="1" applyFont="1" applyFill="1" applyBorder="1" applyAlignment="1" applyProtection="1">
      <alignment horizontal="left" indent="1"/>
    </xf>
    <xf numFmtId="1" fontId="0" fillId="0" borderId="5" xfId="0" applyNumberFormat="1" applyBorder="1"/>
    <xf numFmtId="177" fontId="12" fillId="2" borderId="0" xfId="2" applyNumberFormat="1" applyFont="1" applyFill="1" applyBorder="1" applyProtection="1"/>
    <xf numFmtId="177" fontId="12" fillId="2" borderId="6" xfId="2" applyNumberFormat="1" applyFont="1" applyFill="1" applyBorder="1" applyProtection="1"/>
    <xf numFmtId="168" fontId="0" fillId="0" borderId="0" xfId="2" applyNumberFormat="1" applyFont="1" applyBorder="1" applyProtection="1"/>
    <xf numFmtId="168" fontId="0" fillId="0" borderId="6" xfId="2" applyNumberFormat="1" applyFont="1" applyBorder="1" applyProtection="1"/>
    <xf numFmtId="0" fontId="12" fillId="2" borderId="7" xfId="0" applyFont="1" applyFill="1" applyBorder="1"/>
    <xf numFmtId="177" fontId="12" fillId="2" borderId="8" xfId="2" applyNumberFormat="1" applyFont="1" applyFill="1" applyBorder="1" applyProtection="1"/>
    <xf numFmtId="177" fontId="12" fillId="2" borderId="8" xfId="0" applyNumberFormat="1" applyFont="1" applyFill="1" applyBorder="1"/>
    <xf numFmtId="177" fontId="12" fillId="2" borderId="9" xfId="0" applyNumberFormat="1" applyFont="1" applyFill="1" applyBorder="1"/>
    <xf numFmtId="172" fontId="0" fillId="0" borderId="6" xfId="0" applyNumberFormat="1" applyBorder="1" applyAlignment="1">
      <alignment horizontal="center"/>
    </xf>
    <xf numFmtId="171" fontId="0" fillId="0" borderId="6" xfId="0" applyNumberFormat="1" applyBorder="1" applyAlignment="1">
      <alignment horizontal="center"/>
    </xf>
    <xf numFmtId="164" fontId="12" fillId="0" borderId="6" xfId="0" applyNumberFormat="1" applyFont="1" applyBorder="1" applyAlignment="1">
      <alignment horizontal="center" vertical="center"/>
    </xf>
    <xf numFmtId="0" fontId="0" fillId="0" borderId="0" xfId="0" applyAlignment="1">
      <alignment horizontal="left" indent="1"/>
    </xf>
    <xf numFmtId="10" fontId="0" fillId="0" borderId="0" xfId="1" applyNumberFormat="1" applyFont="1" applyBorder="1" applyAlignment="1" applyProtection="1">
      <alignment horizontal="center"/>
    </xf>
    <xf numFmtId="164" fontId="12" fillId="0" borderId="6" xfId="0" applyNumberFormat="1" applyFont="1" applyBorder="1" applyAlignment="1">
      <alignment horizontal="center"/>
    </xf>
    <xf numFmtId="3" fontId="0" fillId="0" borderId="0" xfId="2" applyNumberFormat="1" applyFont="1" applyBorder="1" applyAlignment="1" applyProtection="1">
      <alignment horizontal="center"/>
    </xf>
    <xf numFmtId="10" fontId="0" fillId="0" borderId="6" xfId="1" applyNumberFormat="1" applyFont="1" applyFill="1" applyBorder="1" applyAlignment="1" applyProtection="1">
      <alignment horizontal="center"/>
    </xf>
    <xf numFmtId="166" fontId="0" fillId="0" borderId="8" xfId="0" applyNumberFormat="1" applyBorder="1"/>
    <xf numFmtId="164" fontId="21" fillId="0" borderId="6" xfId="0" applyNumberFormat="1" applyFont="1" applyBorder="1" applyAlignment="1" applyProtection="1">
      <alignment vertical="center"/>
      <protection locked="0"/>
    </xf>
    <xf numFmtId="0" fontId="12" fillId="0" borderId="6" xfId="0" applyFont="1" applyBorder="1" applyAlignment="1">
      <alignment vertical="center"/>
    </xf>
    <xf numFmtId="0" fontId="24" fillId="0" borderId="48" xfId="0" applyFont="1" applyBorder="1" applyAlignment="1">
      <alignment horizontal="center"/>
    </xf>
    <xf numFmtId="164" fontId="21" fillId="0" borderId="6" xfId="0" applyNumberFormat="1" applyFont="1" applyBorder="1" applyAlignment="1">
      <alignment horizontal="center"/>
    </xf>
    <xf numFmtId="43" fontId="0" fillId="0" borderId="0" xfId="1" applyNumberFormat="1" applyFont="1" applyBorder="1" applyAlignment="1">
      <alignment horizontal="center"/>
    </xf>
    <xf numFmtId="0" fontId="0" fillId="0" borderId="6" xfId="0" applyBorder="1" applyAlignment="1">
      <alignment horizontal="left"/>
    </xf>
    <xf numFmtId="43" fontId="0" fillId="0" borderId="5" xfId="2" applyFont="1" applyFill="1" applyBorder="1"/>
    <xf numFmtId="177" fontId="0" fillId="0" borderId="6" xfId="2" applyNumberFormat="1" applyFont="1" applyFill="1" applyBorder="1"/>
    <xf numFmtId="43" fontId="0" fillId="0" borderId="49" xfId="2" applyFont="1" applyFill="1" applyBorder="1"/>
    <xf numFmtId="177" fontId="0" fillId="0" borderId="6" xfId="0" applyNumberFormat="1" applyBorder="1"/>
    <xf numFmtId="43" fontId="12" fillId="0" borderId="5" xfId="2" applyFont="1" applyFill="1" applyBorder="1"/>
    <xf numFmtId="43" fontId="12" fillId="0" borderId="50" xfId="2" applyFont="1" applyFill="1" applyBorder="1"/>
    <xf numFmtId="0" fontId="12" fillId="0" borderId="51" xfId="0" applyFont="1" applyBorder="1"/>
    <xf numFmtId="43" fontId="12" fillId="0" borderId="7" xfId="2" applyFont="1" applyFill="1" applyBorder="1"/>
    <xf numFmtId="165" fontId="12" fillId="0" borderId="8" xfId="0" applyNumberFormat="1" applyFont="1" applyBorder="1"/>
    <xf numFmtId="0" fontId="21" fillId="0" borderId="5" xfId="0" applyFont="1" applyBorder="1"/>
    <xf numFmtId="165" fontId="21" fillId="0" borderId="6" xfId="1" applyNumberFormat="1" applyFont="1" applyBorder="1" applyAlignment="1" applyProtection="1">
      <alignment horizontal="center"/>
    </xf>
    <xf numFmtId="164" fontId="24" fillId="2" borderId="8" xfId="0" applyNumberFormat="1" applyFont="1" applyFill="1" applyBorder="1" applyAlignment="1">
      <alignment horizontal="center"/>
    </xf>
    <xf numFmtId="165" fontId="24" fillId="2" borderId="8" xfId="1" applyNumberFormat="1" applyFont="1" applyFill="1" applyBorder="1" applyAlignment="1" applyProtection="1">
      <alignment horizontal="center"/>
    </xf>
    <xf numFmtId="16" fontId="0" fillId="0" borderId="5" xfId="0" applyNumberFormat="1" applyBorder="1" applyAlignment="1" applyProtection="1">
      <alignment horizontal="center"/>
      <protection locked="0"/>
    </xf>
    <xf numFmtId="43" fontId="0" fillId="0" borderId="6" xfId="2" applyFont="1" applyBorder="1" applyAlignment="1" applyProtection="1">
      <alignment horizontal="center"/>
      <protection locked="0"/>
    </xf>
    <xf numFmtId="16" fontId="24" fillId="2" borderId="7" xfId="0" applyNumberFormat="1" applyFont="1" applyFill="1" applyBorder="1" applyAlignment="1">
      <alignment horizontal="centerContinuous"/>
    </xf>
    <xf numFmtId="3" fontId="24" fillId="2" borderId="8" xfId="0" applyNumberFormat="1" applyFont="1" applyFill="1" applyBorder="1" applyAlignment="1">
      <alignment horizontal="centerContinuous"/>
    </xf>
    <xf numFmtId="177" fontId="24" fillId="2" borderId="8" xfId="2" applyNumberFormat="1" applyFont="1" applyFill="1" applyBorder="1" applyAlignment="1" applyProtection="1"/>
    <xf numFmtId="43" fontId="24" fillId="2" borderId="8" xfId="2" applyFont="1" applyFill="1" applyBorder="1" applyAlignment="1" applyProtection="1"/>
    <xf numFmtId="43" fontId="24" fillId="2" borderId="9" xfId="2" applyFont="1" applyFill="1" applyBorder="1" applyAlignment="1" applyProtection="1"/>
    <xf numFmtId="0" fontId="0" fillId="0" borderId="5" xfId="0" applyBorder="1" applyProtection="1">
      <protection locked="0"/>
    </xf>
    <xf numFmtId="0" fontId="0" fillId="0" borderId="6" xfId="0" applyBorder="1" applyProtection="1">
      <protection locked="0"/>
    </xf>
    <xf numFmtId="0" fontId="0" fillId="15" borderId="8" xfId="0" applyFill="1" applyBorder="1" applyAlignment="1" applyProtection="1">
      <alignment horizontal="centerContinuous" vertical="center"/>
      <protection locked="0"/>
    </xf>
    <xf numFmtId="0" fontId="0" fillId="15" borderId="8" xfId="0" applyFill="1" applyBorder="1" applyAlignment="1" applyProtection="1">
      <alignment horizontal="centerContinuous"/>
      <protection locked="0"/>
    </xf>
    <xf numFmtId="0" fontId="0" fillId="0" borderId="8" xfId="0" applyBorder="1" applyProtection="1">
      <protection locked="0"/>
    </xf>
    <xf numFmtId="0" fontId="0" fillId="0" borderId="9" xfId="0" applyBorder="1" applyProtection="1">
      <protection locked="0"/>
    </xf>
    <xf numFmtId="0" fontId="0" fillId="0" borderId="0" xfId="0" applyAlignment="1" applyProtection="1">
      <alignment horizontal="centerContinuous" vertical="center"/>
      <protection locked="0"/>
    </xf>
    <xf numFmtId="0" fontId="0" fillId="0" borderId="0" xfId="0" applyAlignment="1" applyProtection="1">
      <alignment horizontal="centerContinuous"/>
      <protection locked="0"/>
    </xf>
    <xf numFmtId="9" fontId="22" fillId="0" borderId="0" xfId="1" applyFont="1" applyBorder="1" applyAlignment="1" applyProtection="1">
      <alignment horizontal="center"/>
      <protection locked="0"/>
    </xf>
    <xf numFmtId="10" fontId="21" fillId="0" borderId="0" xfId="1" applyNumberFormat="1" applyFont="1" applyBorder="1" applyAlignment="1" applyProtection="1">
      <alignment horizontal="center"/>
      <protection locked="0"/>
    </xf>
    <xf numFmtId="164" fontId="21" fillId="0" borderId="0" xfId="0" applyNumberFormat="1" applyFont="1" applyAlignment="1" applyProtection="1">
      <alignment horizontal="center"/>
      <protection locked="0"/>
    </xf>
    <xf numFmtId="0" fontId="0" fillId="0" borderId="6" xfId="0" applyBorder="1" applyAlignment="1" applyProtection="1">
      <alignment horizontal="left"/>
      <protection locked="0"/>
    </xf>
    <xf numFmtId="0" fontId="21" fillId="0" borderId="0" xfId="0" applyFont="1" applyAlignment="1" applyProtection="1">
      <alignment horizontal="left"/>
      <protection locked="0"/>
    </xf>
    <xf numFmtId="0" fontId="21" fillId="0" borderId="6" xfId="0" applyFont="1" applyBorder="1" applyAlignment="1" applyProtection="1">
      <alignment horizontal="left"/>
      <protection locked="0"/>
    </xf>
    <xf numFmtId="0" fontId="12" fillId="2" borderId="7" xfId="0" applyFont="1" applyFill="1" applyBorder="1" applyAlignment="1">
      <alignment horizontal="left"/>
    </xf>
    <xf numFmtId="0" fontId="12" fillId="2" borderId="8" xfId="0" applyFont="1" applyFill="1" applyBorder="1" applyAlignment="1">
      <alignment horizontal="left"/>
    </xf>
    <xf numFmtId="165" fontId="24" fillId="2" borderId="8" xfId="0" applyNumberFormat="1" applyFont="1" applyFill="1" applyBorder="1" applyAlignment="1">
      <alignment horizontal="center"/>
    </xf>
    <xf numFmtId="0" fontId="0" fillId="2" borderId="8" xfId="0" applyFill="1" applyBorder="1" applyAlignment="1" applyProtection="1">
      <alignment horizontal="left"/>
      <protection locked="0"/>
    </xf>
    <xf numFmtId="0" fontId="0" fillId="2" borderId="9" xfId="0" applyFill="1" applyBorder="1" applyAlignment="1" applyProtection="1">
      <alignment horizontal="left"/>
      <protection locked="0"/>
    </xf>
    <xf numFmtId="3" fontId="21" fillId="0" borderId="0" xfId="2" applyNumberFormat="1" applyFont="1" applyBorder="1" applyAlignment="1">
      <alignment horizontal="center"/>
    </xf>
    <xf numFmtId="0" fontId="69" fillId="0" borderId="0" xfId="0" applyFont="1" applyAlignment="1">
      <alignment horizontal="left"/>
    </xf>
    <xf numFmtId="164" fontId="0" fillId="0" borderId="6" xfId="0" applyNumberFormat="1" applyBorder="1" applyAlignment="1" applyProtection="1">
      <alignment horizontal="left"/>
      <protection locked="0"/>
    </xf>
    <xf numFmtId="0" fontId="12" fillId="2" borderId="5" xfId="0" applyFont="1" applyFill="1" applyBorder="1" applyAlignment="1">
      <alignment horizontal="left"/>
    </xf>
    <xf numFmtId="0" fontId="12" fillId="2" borderId="0" xfId="0" applyFont="1" applyFill="1" applyAlignment="1">
      <alignment horizontal="center"/>
    </xf>
    <xf numFmtId="0" fontId="0" fillId="2" borderId="6" xfId="0" applyFill="1" applyBorder="1" applyAlignment="1" applyProtection="1">
      <alignment horizontal="center"/>
      <protection locked="0"/>
    </xf>
    <xf numFmtId="0" fontId="35" fillId="0" borderId="0" xfId="0" applyFont="1"/>
    <xf numFmtId="165" fontId="57" fillId="0" borderId="0" xfId="1" applyNumberFormat="1" applyFont="1" applyBorder="1" applyAlignment="1" applyProtection="1">
      <alignment horizontal="center"/>
    </xf>
    <xf numFmtId="0" fontId="24" fillId="0" borderId="0" xfId="0" applyFont="1" applyAlignment="1" applyProtection="1">
      <alignment horizontal="center"/>
      <protection locked="0"/>
    </xf>
    <xf numFmtId="0" fontId="12" fillId="0" borderId="7" xfId="0" applyFont="1" applyBorder="1"/>
    <xf numFmtId="9" fontId="0" fillId="0" borderId="8" xfId="1" applyFont="1" applyBorder="1" applyAlignment="1" applyProtection="1">
      <alignment horizontal="center"/>
      <protection locked="0"/>
    </xf>
    <xf numFmtId="3" fontId="0" fillId="15" borderId="5" xfId="0" applyNumberFormat="1" applyFill="1" applyBorder="1" applyAlignment="1" applyProtection="1">
      <alignment horizontal="center"/>
      <protection locked="0"/>
    </xf>
    <xf numFmtId="3" fontId="0" fillId="15" borderId="0" xfId="0" applyNumberFormat="1" applyFill="1" applyAlignment="1" applyProtection="1">
      <alignment horizontal="center"/>
      <protection locked="0"/>
    </xf>
    <xf numFmtId="164" fontId="0" fillId="15" borderId="0" xfId="0" applyNumberFormat="1" applyFill="1" applyAlignment="1" applyProtection="1">
      <alignment horizontal="center"/>
      <protection locked="0"/>
    </xf>
    <xf numFmtId="166" fontId="0" fillId="0" borderId="6" xfId="2" applyNumberFormat="1" applyFont="1" applyFill="1" applyBorder="1" applyAlignment="1" applyProtection="1">
      <alignment horizontal="center"/>
      <protection locked="0"/>
    </xf>
    <xf numFmtId="3" fontId="0" fillId="15" borderId="49" xfId="0" applyNumberFormat="1" applyFill="1" applyBorder="1" applyAlignment="1" applyProtection="1">
      <alignment horizontal="center"/>
      <protection locked="0"/>
    </xf>
    <xf numFmtId="3" fontId="0" fillId="15" borderId="16" xfId="0" applyNumberFormat="1" applyFill="1" applyBorder="1" applyAlignment="1" applyProtection="1">
      <alignment horizontal="center"/>
      <protection locked="0"/>
    </xf>
    <xf numFmtId="164" fontId="0" fillId="15" borderId="16" xfId="0" applyNumberFormat="1" applyFill="1" applyBorder="1" applyAlignment="1" applyProtection="1">
      <alignment horizontal="center"/>
      <protection locked="0"/>
    </xf>
    <xf numFmtId="166" fontId="0" fillId="0" borderId="16" xfId="2" applyNumberFormat="1" applyFont="1" applyFill="1" applyBorder="1" applyAlignment="1" applyProtection="1">
      <alignment horizontal="center"/>
      <protection locked="0"/>
    </xf>
    <xf numFmtId="166" fontId="0" fillId="0" borderId="48" xfId="2" applyNumberFormat="1" applyFont="1" applyFill="1" applyBorder="1" applyAlignment="1" applyProtection="1">
      <alignment horizontal="center"/>
      <protection locked="0"/>
    </xf>
    <xf numFmtId="0" fontId="60" fillId="0" borderId="41" xfId="0" applyFont="1" applyBorder="1" applyAlignment="1">
      <alignment horizontal="left"/>
    </xf>
    <xf numFmtId="0" fontId="60" fillId="0" borderId="42" xfId="0" applyFont="1" applyBorder="1" applyAlignment="1">
      <alignment horizontal="center"/>
    </xf>
    <xf numFmtId="0" fontId="0" fillId="0" borderId="5" xfId="0" applyBorder="1" applyAlignment="1" applyProtection="1">
      <alignment horizontal="left"/>
      <protection locked="0"/>
    </xf>
    <xf numFmtId="10" fontId="0" fillId="15" borderId="0" xfId="1" applyNumberFormat="1" applyFont="1" applyFill="1" applyBorder="1" applyAlignment="1" applyProtection="1">
      <alignment horizontal="center"/>
      <protection locked="0"/>
    </xf>
    <xf numFmtId="0" fontId="61" fillId="0" borderId="42" xfId="0" applyFont="1" applyBorder="1" applyAlignment="1">
      <alignment horizontal="center"/>
    </xf>
    <xf numFmtId="0" fontId="0" fillId="15" borderId="6" xfId="0" applyFill="1" applyBorder="1" applyProtection="1">
      <protection locked="0"/>
    </xf>
    <xf numFmtId="0" fontId="61" fillId="0" borderId="42" xfId="0" applyFont="1" applyBorder="1" applyAlignment="1" applyProtection="1">
      <alignment horizontal="center"/>
      <protection locked="0"/>
    </xf>
    <xf numFmtId="0" fontId="0" fillId="0" borderId="48" xfId="0" applyBorder="1" applyProtection="1">
      <protection locked="0"/>
    </xf>
    <xf numFmtId="10" fontId="0" fillId="0" borderId="6" xfId="1" applyNumberFormat="1" applyFont="1" applyFill="1" applyBorder="1" applyAlignment="1" applyProtection="1">
      <alignment horizontal="center"/>
      <protection locked="0"/>
    </xf>
    <xf numFmtId="177" fontId="0" fillId="15" borderId="0" xfId="2" applyNumberFormat="1" applyFont="1" applyFill="1" applyBorder="1" applyAlignment="1" applyProtection="1">
      <alignment horizontal="left"/>
      <protection locked="0"/>
    </xf>
    <xf numFmtId="1" fontId="0" fillId="15" borderId="0" xfId="2" applyNumberFormat="1" applyFont="1" applyFill="1" applyBorder="1" applyAlignment="1" applyProtection="1">
      <alignment horizontal="center"/>
      <protection locked="0"/>
    </xf>
    <xf numFmtId="1" fontId="0" fillId="15" borderId="0" xfId="1" applyNumberFormat="1" applyFont="1" applyFill="1" applyBorder="1" applyAlignment="1" applyProtection="1">
      <alignment horizontal="center"/>
      <protection locked="0"/>
    </xf>
    <xf numFmtId="164" fontId="0" fillId="15" borderId="0" xfId="1" applyNumberFormat="1" applyFont="1" applyFill="1" applyBorder="1" applyAlignment="1" applyProtection="1">
      <alignment horizontal="center"/>
      <protection locked="0"/>
    </xf>
    <xf numFmtId="166" fontId="0" fillId="0" borderId="6" xfId="0" applyNumberFormat="1" applyBorder="1" applyProtection="1">
      <protection locked="0"/>
    </xf>
    <xf numFmtId="0" fontId="40" fillId="0" borderId="42" xfId="0" applyFont="1" applyBorder="1" applyProtection="1">
      <protection locked="0"/>
    </xf>
    <xf numFmtId="0" fontId="40" fillId="0" borderId="6" xfId="0" applyFont="1" applyBorder="1" applyProtection="1">
      <protection locked="0"/>
    </xf>
    <xf numFmtId="10" fontId="0" fillId="0" borderId="6" xfId="0" applyNumberFormat="1" applyBorder="1" applyProtection="1">
      <protection locked="0"/>
    </xf>
    <xf numFmtId="165" fontId="0" fillId="15" borderId="0" xfId="1" applyNumberFormat="1" applyFont="1" applyFill="1" applyBorder="1" applyAlignment="1" applyProtection="1">
      <alignment horizontal="center"/>
      <protection locked="0"/>
    </xf>
    <xf numFmtId="165" fontId="0" fillId="0" borderId="6" xfId="0" applyNumberFormat="1" applyBorder="1" applyProtection="1">
      <protection locked="0"/>
    </xf>
    <xf numFmtId="2" fontId="40" fillId="0" borderId="6" xfId="0" applyNumberFormat="1" applyFont="1" applyBorder="1" applyProtection="1">
      <protection locked="0"/>
    </xf>
    <xf numFmtId="177" fontId="0" fillId="0" borderId="0" xfId="2" applyNumberFormat="1" applyFont="1" applyBorder="1" applyAlignment="1" applyProtection="1">
      <alignment horizontal="center"/>
      <protection locked="0"/>
    </xf>
    <xf numFmtId="9" fontId="0" fillId="0" borderId="6" xfId="1" applyFont="1" applyBorder="1" applyProtection="1">
      <protection locked="0"/>
    </xf>
    <xf numFmtId="9" fontId="0" fillId="15" borderId="8" xfId="1" applyFont="1" applyFill="1" applyBorder="1" applyAlignment="1" applyProtection="1">
      <alignment horizontal="center"/>
      <protection locked="0"/>
    </xf>
    <xf numFmtId="0" fontId="19" fillId="12" borderId="52" xfId="0" applyFont="1" applyFill="1" applyBorder="1" applyAlignment="1">
      <alignment horizontal="centerContinuous"/>
    </xf>
    <xf numFmtId="0" fontId="0" fillId="15" borderId="53" xfId="0" applyFill="1" applyBorder="1" applyProtection="1">
      <protection locked="0"/>
    </xf>
    <xf numFmtId="0" fontId="0" fillId="14" borderId="53" xfId="0" applyFill="1" applyBorder="1" applyProtection="1">
      <protection locked="0"/>
    </xf>
    <xf numFmtId="0" fontId="0" fillId="17" borderId="54" xfId="0" applyFill="1" applyBorder="1" applyProtection="1">
      <protection locked="0"/>
    </xf>
    <xf numFmtId="0" fontId="37" fillId="0" borderId="6" xfId="0" applyFont="1" applyBorder="1" applyAlignment="1">
      <alignment horizontal="left"/>
    </xf>
    <xf numFmtId="0" fontId="61" fillId="0" borderId="20" xfId="0" applyFont="1" applyBorder="1" applyAlignment="1" applyProtection="1">
      <alignment horizontal="center" vertical="center"/>
      <protection locked="0"/>
    </xf>
    <xf numFmtId="1" fontId="11" fillId="0" borderId="5" xfId="0" applyNumberFormat="1" applyFont="1" applyBorder="1" applyAlignment="1" applyProtection="1">
      <alignment horizontal="center"/>
      <protection locked="0"/>
    </xf>
    <xf numFmtId="1" fontId="11" fillId="0" borderId="5" xfId="2" applyNumberFormat="1" applyFont="1" applyBorder="1" applyAlignment="1" applyProtection="1">
      <alignment horizontal="center"/>
      <protection locked="0"/>
    </xf>
    <xf numFmtId="0" fontId="35" fillId="0" borderId="0" xfId="0" applyFont="1" applyAlignment="1" applyProtection="1">
      <alignment horizontal="left"/>
      <protection locked="0"/>
    </xf>
    <xf numFmtId="0" fontId="48" fillId="0" borderId="2" xfId="7" applyBorder="1"/>
    <xf numFmtId="0" fontId="54" fillId="8" borderId="3" xfId="7" applyFont="1" applyFill="1" applyBorder="1" applyAlignment="1">
      <alignment horizontal="centerContinuous"/>
    </xf>
    <xf numFmtId="0" fontId="48" fillId="8" borderId="3" xfId="7" applyFill="1" applyBorder="1" applyAlignment="1">
      <alignment horizontal="centerContinuous"/>
    </xf>
    <xf numFmtId="0" fontId="53" fillId="8" borderId="3" xfId="7" applyFont="1" applyFill="1" applyBorder="1" applyAlignment="1">
      <alignment horizontal="centerContinuous"/>
    </xf>
    <xf numFmtId="0" fontId="50" fillId="8" borderId="3" xfId="7" applyFont="1" applyFill="1" applyBorder="1" applyAlignment="1">
      <alignment horizontal="centerContinuous"/>
    </xf>
    <xf numFmtId="0" fontId="55" fillId="10" borderId="55" xfId="7" applyFont="1" applyFill="1" applyBorder="1" applyAlignment="1">
      <alignment horizontal="centerContinuous"/>
    </xf>
    <xf numFmtId="0" fontId="48" fillId="10" borderId="3" xfId="7" applyFill="1" applyBorder="1" applyAlignment="1">
      <alignment horizontal="centerContinuous"/>
    </xf>
    <xf numFmtId="0" fontId="50" fillId="10" borderId="4" xfId="7" applyFont="1" applyFill="1" applyBorder="1" applyAlignment="1">
      <alignment horizontal="centerContinuous"/>
    </xf>
    <xf numFmtId="0" fontId="49" fillId="0" borderId="5" xfId="7" applyFont="1" applyBorder="1"/>
    <xf numFmtId="0" fontId="52" fillId="9" borderId="0" xfId="7" applyFont="1" applyFill="1" applyAlignment="1">
      <alignment horizontal="centerContinuous"/>
    </xf>
    <xf numFmtId="0" fontId="49" fillId="0" borderId="6" xfId="7" applyFont="1" applyBorder="1"/>
    <xf numFmtId="0" fontId="46" fillId="0" borderId="0" xfId="7" applyFont="1"/>
    <xf numFmtId="178" fontId="50" fillId="0" borderId="0" xfId="7" applyNumberFormat="1" applyFont="1" applyAlignment="1">
      <alignment horizontal="center"/>
    </xf>
    <xf numFmtId="178" fontId="50" fillId="0" borderId="6" xfId="7" applyNumberFormat="1" applyFont="1" applyBorder="1" applyAlignment="1">
      <alignment horizontal="center"/>
    </xf>
    <xf numFmtId="10" fontId="50" fillId="0" borderId="0" xfId="7" applyNumberFormat="1" applyFont="1" applyAlignment="1">
      <alignment horizontal="center"/>
    </xf>
    <xf numFmtId="9" fontId="50" fillId="0" borderId="6" xfId="1" applyFont="1" applyFill="1" applyBorder="1" applyAlignment="1">
      <alignment horizontal="center"/>
    </xf>
    <xf numFmtId="5" fontId="50" fillId="0" borderId="0" xfId="7" applyNumberFormat="1" applyFont="1" applyAlignment="1">
      <alignment horizontal="center"/>
    </xf>
    <xf numFmtId="5" fontId="50" fillId="0" borderId="6" xfId="7" applyNumberFormat="1" applyFont="1" applyBorder="1" applyAlignment="1">
      <alignment horizontal="center"/>
    </xf>
    <xf numFmtId="7" fontId="50" fillId="0" borderId="0" xfId="7" applyNumberFormat="1" applyFont="1" applyAlignment="1">
      <alignment horizontal="center"/>
    </xf>
    <xf numFmtId="7" fontId="50" fillId="0" borderId="6" xfId="7" applyNumberFormat="1" applyFont="1" applyBorder="1" applyAlignment="1">
      <alignment horizontal="center"/>
    </xf>
    <xf numFmtId="7" fontId="49" fillId="0" borderId="0" xfId="7" applyNumberFormat="1" applyFont="1"/>
    <xf numFmtId="0" fontId="50" fillId="0" borderId="5" xfId="7" applyFont="1" applyBorder="1" applyAlignment="1">
      <alignment horizontal="center"/>
    </xf>
    <xf numFmtId="43" fontId="50" fillId="0" borderId="0" xfId="2" applyFont="1" applyFill="1" applyBorder="1" applyAlignment="1">
      <alignment horizontal="center"/>
    </xf>
    <xf numFmtId="43" fontId="49" fillId="0" borderId="0" xfId="2" applyFont="1" applyBorder="1"/>
    <xf numFmtId="0" fontId="48" fillId="0" borderId="6" xfId="7" applyBorder="1"/>
    <xf numFmtId="0" fontId="52" fillId="11" borderId="0" xfId="7" applyFont="1" applyFill="1" applyAlignment="1">
      <alignment horizontal="centerContinuous"/>
    </xf>
    <xf numFmtId="0" fontId="49" fillId="12" borderId="6" xfId="7" applyFont="1" applyFill="1" applyBorder="1" applyAlignment="1">
      <alignment horizontal="centerContinuous"/>
    </xf>
    <xf numFmtId="0" fontId="51" fillId="0" borderId="5" xfId="7" applyFont="1" applyBorder="1" applyAlignment="1">
      <alignment horizontal="center"/>
    </xf>
    <xf numFmtId="1" fontId="46" fillId="0" borderId="0" xfId="7" applyNumberFormat="1" applyFont="1" applyAlignment="1">
      <alignment horizontal="right"/>
    </xf>
    <xf numFmtId="44" fontId="46" fillId="0" borderId="0" xfId="7" applyNumberFormat="1" applyFont="1" applyAlignment="1">
      <alignment horizontal="right"/>
    </xf>
    <xf numFmtId="43" fontId="46" fillId="0" borderId="0" xfId="2" applyFont="1" applyBorder="1" applyAlignment="1">
      <alignment horizontal="right"/>
    </xf>
    <xf numFmtId="44" fontId="46" fillId="0" borderId="6" xfId="7" applyNumberFormat="1" applyFont="1" applyBorder="1" applyAlignment="1">
      <alignment horizontal="right"/>
    </xf>
    <xf numFmtId="0" fontId="50" fillId="0" borderId="0" xfId="7" applyFont="1" applyAlignment="1">
      <alignment horizontal="center"/>
    </xf>
    <xf numFmtId="39" fontId="49" fillId="0" borderId="0" xfId="7" applyNumberFormat="1" applyFont="1"/>
    <xf numFmtId="0" fontId="49" fillId="0" borderId="7" xfId="7" applyFont="1" applyBorder="1"/>
    <xf numFmtId="0" fontId="49" fillId="0" borderId="8" xfId="7" applyFont="1" applyBorder="1"/>
    <xf numFmtId="0" fontId="49" fillId="0" borderId="56" xfId="7" applyFont="1" applyBorder="1"/>
    <xf numFmtId="1" fontId="46" fillId="0" borderId="8" xfId="7" applyNumberFormat="1" applyFont="1" applyBorder="1" applyAlignment="1">
      <alignment horizontal="right"/>
    </xf>
    <xf numFmtId="44" fontId="46" fillId="0" borderId="8" xfId="7" applyNumberFormat="1" applyFont="1" applyBorder="1" applyAlignment="1">
      <alignment horizontal="right"/>
    </xf>
    <xf numFmtId="44" fontId="46" fillId="0" borderId="9" xfId="7" applyNumberFormat="1" applyFont="1" applyBorder="1" applyAlignment="1">
      <alignment horizontal="right"/>
    </xf>
    <xf numFmtId="0" fontId="12" fillId="2" borderId="5" xfId="0" applyFont="1" applyFill="1" applyBorder="1" applyAlignment="1">
      <alignment horizontal="centerContinuous"/>
    </xf>
    <xf numFmtId="0" fontId="0" fillId="2" borderId="6" xfId="0" applyFill="1" applyBorder="1" applyAlignment="1">
      <alignment horizontal="centerContinuous"/>
    </xf>
    <xf numFmtId="0" fontId="21" fillId="0" borderId="57" xfId="0" applyFont="1" applyBorder="1"/>
    <xf numFmtId="0" fontId="21" fillId="0" borderId="50" xfId="0" applyFont="1" applyBorder="1"/>
    <xf numFmtId="0" fontId="21" fillId="0" borderId="11" xfId="0" applyFont="1" applyBorder="1"/>
    <xf numFmtId="164" fontId="21" fillId="0" borderId="11" xfId="0" applyNumberFormat="1" applyFont="1" applyBorder="1" applyAlignment="1">
      <alignment horizontal="center"/>
    </xf>
    <xf numFmtId="165" fontId="21" fillId="0" borderId="11" xfId="1" applyNumberFormat="1" applyFont="1" applyBorder="1" applyAlignment="1" applyProtection="1">
      <alignment horizontal="center"/>
    </xf>
    <xf numFmtId="0" fontId="0" fillId="0" borderId="11" xfId="0" applyBorder="1"/>
    <xf numFmtId="0" fontId="21" fillId="0" borderId="58" xfId="0" applyFont="1" applyBorder="1"/>
    <xf numFmtId="165" fontId="21" fillId="0" borderId="51" xfId="1" applyNumberFormat="1" applyFont="1" applyBorder="1" applyAlignment="1" applyProtection="1">
      <alignment horizontal="center"/>
    </xf>
    <xf numFmtId="0" fontId="24" fillId="2" borderId="45" xfId="0" applyFont="1" applyFill="1" applyBorder="1" applyAlignment="1">
      <alignment horizontal="centerContinuous"/>
    </xf>
    <xf numFmtId="0" fontId="24" fillId="2" borderId="46" xfId="0" applyFont="1" applyFill="1" applyBorder="1" applyAlignment="1">
      <alignment horizontal="centerContinuous"/>
    </xf>
    <xf numFmtId="164" fontId="24" fillId="2" borderId="46" xfId="0" applyNumberFormat="1" applyFont="1" applyFill="1" applyBorder="1" applyAlignment="1">
      <alignment horizontal="center"/>
    </xf>
    <xf numFmtId="165" fontId="24" fillId="2" borderId="46" xfId="1" applyNumberFormat="1" applyFont="1" applyFill="1" applyBorder="1" applyAlignment="1" applyProtection="1">
      <alignment horizontal="center"/>
    </xf>
    <xf numFmtId="0" fontId="24" fillId="2" borderId="46" xfId="0" applyFont="1" applyFill="1" applyBorder="1"/>
    <xf numFmtId="0" fontId="24" fillId="2" borderId="46" xfId="0" applyFont="1" applyFill="1" applyBorder="1" applyAlignment="1">
      <alignment horizontal="center"/>
    </xf>
    <xf numFmtId="165" fontId="24" fillId="2" borderId="47" xfId="1" applyNumberFormat="1" applyFont="1" applyFill="1" applyBorder="1" applyAlignment="1" applyProtection="1">
      <alignment horizontal="center"/>
    </xf>
    <xf numFmtId="0" fontId="12" fillId="2" borderId="59" xfId="0" applyFont="1" applyFill="1" applyBorder="1" applyAlignment="1">
      <alignment horizontal="centerContinuous"/>
    </xf>
    <xf numFmtId="0" fontId="24" fillId="2" borderId="41" xfId="0" applyFont="1" applyFill="1" applyBorder="1" applyAlignment="1">
      <alignment horizontal="center"/>
    </xf>
    <xf numFmtId="0" fontId="24" fillId="2" borderId="30" xfId="0" applyFont="1" applyFill="1" applyBorder="1" applyAlignment="1">
      <alignment horizontal="center"/>
    </xf>
    <xf numFmtId="0" fontId="24" fillId="2" borderId="42" xfId="0" applyFont="1" applyFill="1" applyBorder="1" applyAlignment="1">
      <alignment horizontal="center"/>
    </xf>
    <xf numFmtId="0" fontId="24" fillId="2" borderId="15" xfId="0" applyFont="1" applyFill="1" applyBorder="1" applyAlignment="1">
      <alignment horizontal="center"/>
    </xf>
    <xf numFmtId="9" fontId="24" fillId="2" borderId="16" xfId="0" applyNumberFormat="1" applyFont="1" applyFill="1" applyBorder="1" applyAlignment="1">
      <alignment horizontal="center"/>
    </xf>
    <xf numFmtId="164" fontId="24" fillId="2" borderId="48" xfId="0" applyNumberFormat="1" applyFont="1" applyFill="1" applyBorder="1" applyAlignment="1">
      <alignment horizontal="center"/>
    </xf>
    <xf numFmtId="0" fontId="73" fillId="0" borderId="5" xfId="0" applyFont="1" applyBorder="1"/>
    <xf numFmtId="0" fontId="73" fillId="0" borderId="0" xfId="0" applyFont="1"/>
    <xf numFmtId="0" fontId="12" fillId="0" borderId="0" xfId="0" applyFont="1" applyAlignment="1" applyProtection="1">
      <alignment horizontal="center"/>
      <protection locked="0"/>
    </xf>
    <xf numFmtId="164" fontId="12" fillId="0" borderId="0" xfId="0" applyNumberFormat="1" applyFont="1" applyAlignment="1" applyProtection="1">
      <alignment horizontal="center"/>
      <protection locked="0"/>
    </xf>
    <xf numFmtId="3" fontId="12" fillId="0" borderId="0" xfId="2" applyNumberFormat="1" applyFont="1" applyFill="1" applyBorder="1" applyAlignment="1" applyProtection="1">
      <alignment horizontal="center"/>
      <protection locked="0"/>
    </xf>
    <xf numFmtId="166" fontId="12" fillId="0" borderId="6" xfId="2" applyNumberFormat="1" applyFont="1" applyFill="1" applyBorder="1" applyAlignment="1" applyProtection="1">
      <alignment horizontal="center"/>
      <protection locked="0"/>
    </xf>
    <xf numFmtId="0" fontId="12" fillId="0" borderId="7" xfId="0" applyFont="1" applyBorder="1" applyAlignment="1" applyProtection="1">
      <alignment horizontal="center"/>
      <protection locked="0"/>
    </xf>
    <xf numFmtId="0" fontId="12" fillId="0" borderId="8" xfId="0" applyFont="1" applyBorder="1" applyAlignment="1" applyProtection="1">
      <alignment horizontal="center"/>
      <protection locked="0"/>
    </xf>
    <xf numFmtId="164" fontId="12" fillId="0" borderId="8" xfId="0" applyNumberFormat="1" applyFont="1" applyBorder="1" applyAlignment="1" applyProtection="1">
      <alignment horizontal="center"/>
      <protection locked="0"/>
    </xf>
    <xf numFmtId="3" fontId="12" fillId="0" borderId="8" xfId="2" applyNumberFormat="1" applyFont="1" applyFill="1" applyBorder="1" applyAlignment="1" applyProtection="1">
      <alignment horizontal="center"/>
      <protection locked="0"/>
    </xf>
    <xf numFmtId="166" fontId="12" fillId="0" borderId="9" xfId="2" applyNumberFormat="1" applyFont="1" applyFill="1" applyBorder="1" applyAlignment="1" applyProtection="1">
      <alignment horizontal="center"/>
      <protection locked="0"/>
    </xf>
    <xf numFmtId="0" fontId="0" fillId="0" borderId="7" xfId="0" applyBorder="1" applyAlignment="1" applyProtection="1">
      <alignment horizontal="left"/>
      <protection locked="0"/>
    </xf>
    <xf numFmtId="0" fontId="0" fillId="0" borderId="8" xfId="0" applyBorder="1" applyAlignment="1" applyProtection="1">
      <alignment horizontal="left"/>
      <protection locked="0"/>
    </xf>
    <xf numFmtId="10" fontId="0" fillId="15" borderId="0" xfId="0" applyNumberFormat="1" applyFill="1" applyAlignment="1" applyProtection="1">
      <alignment horizontal="center"/>
      <protection locked="0"/>
    </xf>
    <xf numFmtId="1" fontId="0" fillId="15" borderId="0" xfId="0" applyNumberFormat="1" applyFill="1" applyAlignment="1" applyProtection="1">
      <alignment horizontal="center"/>
      <protection locked="0"/>
    </xf>
    <xf numFmtId="165" fontId="0" fillId="15" borderId="0" xfId="0" applyNumberFormat="1" applyFill="1" applyAlignment="1" applyProtection="1">
      <alignment horizontal="center"/>
      <protection locked="0"/>
    </xf>
    <xf numFmtId="0" fontId="0" fillId="15" borderId="0" xfId="0" applyFill="1" applyAlignment="1" applyProtection="1">
      <alignment horizontal="center"/>
      <protection locked="0"/>
    </xf>
    <xf numFmtId="9" fontId="0" fillId="15" borderId="0" xfId="0" applyNumberFormat="1" applyFill="1" applyAlignment="1" applyProtection="1">
      <alignment horizontal="center"/>
      <protection locked="0"/>
    </xf>
    <xf numFmtId="6" fontId="0" fillId="15" borderId="0" xfId="0" applyNumberFormat="1" applyFill="1" applyAlignment="1" applyProtection="1">
      <alignment horizontal="center"/>
      <protection locked="0"/>
    </xf>
    <xf numFmtId="0" fontId="40" fillId="0" borderId="0" xfId="0" applyFont="1" applyAlignment="1">
      <alignment horizontal="left"/>
    </xf>
    <xf numFmtId="3" fontId="21" fillId="15" borderId="0" xfId="0" applyNumberFormat="1" applyFont="1" applyFill="1" applyAlignment="1">
      <alignment horizontal="center"/>
    </xf>
    <xf numFmtId="0" fontId="81" fillId="0" borderId="41" xfId="0" applyFont="1" applyBorder="1" applyAlignment="1">
      <alignment horizontal="center"/>
    </xf>
    <xf numFmtId="0" fontId="81" fillId="0" borderId="30" xfId="0" applyFont="1" applyBorder="1" applyAlignment="1">
      <alignment horizontal="center"/>
    </xf>
    <xf numFmtId="0" fontId="81" fillId="0" borderId="42" xfId="0" applyFont="1" applyBorder="1" applyAlignment="1">
      <alignment horizontal="center"/>
    </xf>
    <xf numFmtId="0" fontId="81" fillId="0" borderId="41" xfId="0" applyFont="1" applyBorder="1" applyAlignment="1">
      <alignment horizontal="left"/>
    </xf>
    <xf numFmtId="0" fontId="81" fillId="0" borderId="49" xfId="0" applyFont="1" applyBorder="1" applyAlignment="1">
      <alignment horizontal="left"/>
    </xf>
    <xf numFmtId="0" fontId="81" fillId="0" borderId="32" xfId="0" applyFont="1" applyBorder="1" applyAlignment="1">
      <alignment horizontal="center"/>
    </xf>
    <xf numFmtId="0" fontId="81" fillId="0" borderId="30" xfId="0" applyFont="1" applyBorder="1" applyAlignment="1">
      <alignment horizontal="left"/>
    </xf>
    <xf numFmtId="0" fontId="81" fillId="0" borderId="30" xfId="0" applyFont="1" applyBorder="1"/>
    <xf numFmtId="0" fontId="0" fillId="0" borderId="2" xfId="0" applyBorder="1" applyAlignment="1" applyProtection="1">
      <alignment vertical="center"/>
      <protection locked="0"/>
    </xf>
    <xf numFmtId="0" fontId="0" fillId="0" borderId="3" xfId="0" applyBorder="1" applyProtection="1">
      <protection locked="0"/>
    </xf>
    <xf numFmtId="0" fontId="0" fillId="15" borderId="3" xfId="0" applyFill="1" applyBorder="1" applyAlignment="1" applyProtection="1">
      <alignment horizontal="centerContinuous" vertical="center"/>
      <protection locked="0"/>
    </xf>
    <xf numFmtId="0" fontId="0" fillId="15" borderId="3" xfId="0" applyFill="1" applyBorder="1" applyAlignment="1" applyProtection="1">
      <alignment horizontal="centerContinuous"/>
      <protection locked="0"/>
    </xf>
    <xf numFmtId="0" fontId="12" fillId="0" borderId="3" xfId="0" applyFont="1" applyBorder="1" applyProtection="1">
      <protection locked="0"/>
    </xf>
    <xf numFmtId="3" fontId="0" fillId="0" borderId="3" xfId="0" applyNumberFormat="1" applyBorder="1" applyAlignment="1" applyProtection="1">
      <alignment horizontal="center"/>
      <protection locked="0"/>
    </xf>
    <xf numFmtId="0" fontId="0" fillId="0" borderId="4" xfId="0" applyBorder="1" applyProtection="1">
      <protection locked="0"/>
    </xf>
    <xf numFmtId="0" fontId="0" fillId="0" borderId="5" xfId="0" applyBorder="1" applyAlignment="1" applyProtection="1">
      <alignment vertical="center"/>
      <protection locked="0"/>
    </xf>
    <xf numFmtId="0" fontId="0" fillId="15" borderId="0" xfId="0" applyFill="1" applyAlignment="1" applyProtection="1">
      <alignment horizontal="centerContinuous" vertical="center"/>
      <protection locked="0"/>
    </xf>
    <xf numFmtId="0" fontId="0" fillId="15" borderId="0" xfId="0" applyFill="1" applyAlignment="1" applyProtection="1">
      <alignment horizontal="centerContinuous"/>
      <protection locked="0"/>
    </xf>
    <xf numFmtId="0" fontId="12" fillId="0" borderId="0" xfId="0" applyFont="1" applyProtection="1">
      <protection locked="0"/>
    </xf>
    <xf numFmtId="164" fontId="0" fillId="15" borderId="0" xfId="0" applyNumberFormat="1" applyFill="1" applyAlignment="1" applyProtection="1">
      <alignment horizontal="centerContinuous" vertical="center"/>
      <protection locked="0"/>
    </xf>
    <xf numFmtId="166" fontId="0" fillId="15" borderId="0" xfId="0" applyNumberFormat="1" applyFill="1" applyAlignment="1" applyProtection="1">
      <alignment horizontal="centerContinuous" vertical="center"/>
      <protection locked="0"/>
    </xf>
    <xf numFmtId="181" fontId="0" fillId="15" borderId="0" xfId="0" applyNumberFormat="1" applyFill="1" applyAlignment="1" applyProtection="1">
      <alignment horizontal="centerContinuous" vertical="center"/>
      <protection locked="0"/>
    </xf>
    <xf numFmtId="183" fontId="0" fillId="15" borderId="0" xfId="0" applyNumberFormat="1" applyFill="1" applyAlignment="1" applyProtection="1">
      <alignment horizontal="centerContinuous" vertical="center"/>
      <protection locked="0"/>
    </xf>
    <xf numFmtId="0" fontId="0" fillId="0" borderId="7" xfId="0" applyBorder="1" applyAlignment="1" applyProtection="1">
      <alignment vertical="center"/>
      <protection locked="0"/>
    </xf>
    <xf numFmtId="0" fontId="60" fillId="0" borderId="30" xfId="0" applyFont="1" applyBorder="1" applyAlignment="1">
      <alignment horizontal="center"/>
    </xf>
    <xf numFmtId="0" fontId="24" fillId="0" borderId="0" xfId="0" applyFont="1" applyProtection="1">
      <protection locked="0"/>
    </xf>
    <xf numFmtId="0" fontId="21" fillId="0" borderId="6" xfId="0" applyFont="1" applyBorder="1" applyProtection="1">
      <protection locked="0"/>
    </xf>
    <xf numFmtId="10" fontId="24" fillId="0" borderId="5" xfId="0" applyNumberFormat="1" applyFont="1" applyBorder="1" applyAlignment="1" applyProtection="1">
      <alignment horizontal="center"/>
      <protection locked="0"/>
    </xf>
    <xf numFmtId="9" fontId="21" fillId="0" borderId="0" xfId="1" applyFont="1" applyBorder="1" applyProtection="1">
      <protection locked="0"/>
    </xf>
    <xf numFmtId="10" fontId="24" fillId="0" borderId="5" xfId="1" applyNumberFormat="1" applyFont="1" applyBorder="1" applyAlignment="1" applyProtection="1">
      <alignment horizontal="center"/>
      <protection locked="0"/>
    </xf>
    <xf numFmtId="0" fontId="21" fillId="0" borderId="5" xfId="0" applyFont="1" applyBorder="1" applyAlignment="1" applyProtection="1">
      <alignment horizontal="center"/>
      <protection locked="0"/>
    </xf>
    <xf numFmtId="177" fontId="24" fillId="0" borderId="0" xfId="2" applyNumberFormat="1" applyFont="1" applyBorder="1" applyProtection="1">
      <protection locked="0"/>
    </xf>
    <xf numFmtId="177" fontId="24" fillId="0" borderId="6" xfId="2" applyNumberFormat="1" applyFont="1" applyBorder="1" applyProtection="1">
      <protection locked="0"/>
    </xf>
    <xf numFmtId="9" fontId="21" fillId="0" borderId="6" xfId="1" applyFont="1" applyBorder="1" applyProtection="1">
      <protection locked="0"/>
    </xf>
    <xf numFmtId="0" fontId="24" fillId="15" borderId="5" xfId="0" applyFont="1" applyFill="1" applyBorder="1" applyAlignment="1" applyProtection="1">
      <alignment horizontal="center"/>
      <protection locked="0"/>
    </xf>
    <xf numFmtId="166" fontId="24" fillId="15" borderId="0" xfId="0" applyNumberFormat="1" applyFont="1" applyFill="1" applyAlignment="1" applyProtection="1">
      <alignment horizontal="center"/>
      <protection locked="0"/>
    </xf>
    <xf numFmtId="166" fontId="24" fillId="15" borderId="6" xfId="0" applyNumberFormat="1" applyFont="1" applyFill="1" applyBorder="1" applyAlignment="1" applyProtection="1">
      <alignment horizontal="center"/>
      <protection locked="0"/>
    </xf>
    <xf numFmtId="9" fontId="24" fillId="0" borderId="0" xfId="0" applyNumberFormat="1" applyFont="1" applyAlignment="1" applyProtection="1">
      <alignment horizontal="center"/>
      <protection locked="0"/>
    </xf>
    <xf numFmtId="9" fontId="24" fillId="0" borderId="6" xfId="0" applyNumberFormat="1" applyFont="1" applyBorder="1" applyAlignment="1" applyProtection="1">
      <alignment horizontal="center"/>
      <protection locked="0"/>
    </xf>
    <xf numFmtId="10" fontId="24" fillId="0" borderId="7" xfId="1" applyNumberFormat="1" applyFont="1" applyBorder="1" applyAlignment="1" applyProtection="1">
      <alignment horizontal="center"/>
      <protection locked="0"/>
    </xf>
    <xf numFmtId="9" fontId="21" fillId="0" borderId="8" xfId="1" applyFont="1" applyBorder="1" applyProtection="1">
      <protection locked="0"/>
    </xf>
    <xf numFmtId="9" fontId="21" fillId="0" borderId="9" xfId="1" applyFont="1" applyBorder="1" applyProtection="1">
      <protection locked="0"/>
    </xf>
    <xf numFmtId="9" fontId="13" fillId="0" borderId="0" xfId="1" applyFont="1" applyBorder="1" applyAlignment="1" applyProtection="1">
      <alignment horizontal="center"/>
      <protection locked="0"/>
    </xf>
    <xf numFmtId="164" fontId="42" fillId="0" borderId="0" xfId="1" applyNumberFormat="1" applyFont="1"/>
    <xf numFmtId="0" fontId="12" fillId="0" borderId="11" xfId="0" applyFont="1" applyBorder="1" applyAlignment="1">
      <alignment horizontal="center"/>
    </xf>
    <xf numFmtId="9" fontId="66" fillId="0" borderId="0" xfId="1" applyFont="1" applyFill="1" applyBorder="1" applyAlignment="1">
      <alignment horizontal="center"/>
    </xf>
    <xf numFmtId="0" fontId="66" fillId="0" borderId="0" xfId="0" applyFont="1" applyAlignment="1">
      <alignment horizontal="center"/>
    </xf>
    <xf numFmtId="0" fontId="66" fillId="0" borderId="0" xfId="0" applyFont="1"/>
    <xf numFmtId="0" fontId="83" fillId="0" borderId="0" xfId="0" applyFont="1" applyAlignment="1">
      <alignment horizontal="center"/>
    </xf>
    <xf numFmtId="0" fontId="84" fillId="0" borderId="0" xfId="0" applyFont="1" applyAlignment="1">
      <alignment horizontal="center"/>
    </xf>
    <xf numFmtId="164" fontId="66" fillId="0" borderId="0" xfId="0" applyNumberFormat="1" applyFont="1"/>
    <xf numFmtId="0" fontId="82" fillId="0" borderId="16" xfId="0" applyFont="1" applyBorder="1"/>
    <xf numFmtId="165" fontId="82" fillId="0" borderId="16" xfId="0" applyNumberFormat="1" applyFont="1" applyBorder="1" applyAlignment="1">
      <alignment horizontal="center"/>
    </xf>
    <xf numFmtId="165" fontId="66" fillId="0" borderId="16" xfId="0" applyNumberFormat="1" applyFont="1" applyBorder="1" applyAlignment="1">
      <alignment horizontal="center"/>
    </xf>
    <xf numFmtId="165" fontId="66" fillId="0" borderId="0" xfId="1" applyNumberFormat="1" applyFont="1"/>
    <xf numFmtId="9" fontId="66" fillId="0" borderId="0" xfId="1" applyFont="1" applyBorder="1" applyAlignment="1">
      <alignment horizontal="center"/>
    </xf>
    <xf numFmtId="164" fontId="66" fillId="0" borderId="16" xfId="0" applyNumberFormat="1" applyFont="1" applyBorder="1" applyAlignment="1">
      <alignment horizontal="center"/>
    </xf>
    <xf numFmtId="164" fontId="66" fillId="0" borderId="16" xfId="2" applyNumberFormat="1" applyFont="1" applyBorder="1" applyAlignment="1">
      <alignment horizontal="center"/>
    </xf>
    <xf numFmtId="0" fontId="85" fillId="0" borderId="20" xfId="0" applyFont="1" applyBorder="1" applyAlignment="1">
      <alignment vertical="center"/>
    </xf>
    <xf numFmtId="0" fontId="86" fillId="0" borderId="0" xfId="0" applyFont="1"/>
    <xf numFmtId="9" fontId="35" fillId="0" borderId="0" xfId="1" applyFont="1" applyAlignment="1">
      <alignment horizontal="center"/>
    </xf>
    <xf numFmtId="43" fontId="35" fillId="0" borderId="0" xfId="2" applyFont="1" applyAlignment="1">
      <alignment horizontal="center"/>
    </xf>
    <xf numFmtId="0" fontId="35" fillId="0" borderId="0" xfId="0" applyFont="1" applyAlignment="1">
      <alignment horizontal="center"/>
    </xf>
    <xf numFmtId="164" fontId="35" fillId="0" borderId="0" xfId="0" applyNumberFormat="1" applyFont="1"/>
    <xf numFmtId="9" fontId="66" fillId="0" borderId="0" xfId="1" applyFont="1" applyFill="1" applyAlignment="1">
      <alignment horizontal="center"/>
    </xf>
    <xf numFmtId="43" fontId="35" fillId="0" borderId="0" xfId="2" applyFont="1"/>
    <xf numFmtId="164" fontId="66" fillId="0" borderId="0" xfId="2" applyNumberFormat="1" applyFont="1"/>
    <xf numFmtId="9" fontId="66" fillId="0" borderId="0" xfId="1" applyFont="1"/>
    <xf numFmtId="0" fontId="57" fillId="0" borderId="0" xfId="0" applyFont="1"/>
    <xf numFmtId="0" fontId="0" fillId="4" borderId="0" xfId="0" applyFill="1"/>
    <xf numFmtId="164" fontId="12" fillId="2" borderId="0" xfId="0" applyNumberFormat="1" applyFont="1" applyFill="1" applyAlignment="1">
      <alignment horizontal="center"/>
    </xf>
    <xf numFmtId="0" fontId="16" fillId="4" borderId="0" xfId="0" applyFont="1" applyFill="1" applyAlignment="1">
      <alignment horizontal="center"/>
    </xf>
    <xf numFmtId="0" fontId="0" fillId="4" borderId="0" xfId="0" applyFill="1" applyAlignment="1">
      <alignment horizontal="center"/>
    </xf>
    <xf numFmtId="0" fontId="0" fillId="4" borderId="0" xfId="0" applyFill="1" applyAlignment="1">
      <alignment horizontal="left"/>
    </xf>
    <xf numFmtId="17" fontId="11" fillId="12" borderId="0" xfId="0" applyNumberFormat="1" applyFont="1" applyFill="1" applyAlignment="1">
      <alignment horizontal="center" vertical="center"/>
    </xf>
    <xf numFmtId="17" fontId="11" fillId="12" borderId="6" xfId="0" applyNumberFormat="1" applyFont="1" applyFill="1" applyBorder="1" applyAlignment="1">
      <alignment horizontal="center" vertical="center"/>
    </xf>
    <xf numFmtId="10" fontId="15" fillId="4" borderId="6" xfId="1" applyNumberFormat="1" applyFont="1" applyFill="1" applyBorder="1" applyAlignment="1" applyProtection="1"/>
    <xf numFmtId="0" fontId="0" fillId="4" borderId="6" xfId="0" applyFill="1" applyBorder="1"/>
    <xf numFmtId="164" fontId="12" fillId="2" borderId="8" xfId="0" applyNumberFormat="1" applyFont="1" applyFill="1" applyBorder="1" applyAlignment="1">
      <alignment horizontal="center"/>
    </xf>
    <xf numFmtId="164" fontId="12" fillId="2" borderId="9" xfId="0" applyNumberFormat="1" applyFont="1" applyFill="1" applyBorder="1" applyAlignment="1">
      <alignment horizontal="center"/>
    </xf>
    <xf numFmtId="166" fontId="21" fillId="0" borderId="0" xfId="0" applyNumberFormat="1" applyFont="1" applyProtection="1">
      <protection locked="0"/>
    </xf>
    <xf numFmtId="0" fontId="11" fillId="12" borderId="0" xfId="0" applyFont="1" applyFill="1" applyAlignment="1">
      <alignment horizontal="center"/>
    </xf>
    <xf numFmtId="44" fontId="0" fillId="0" borderId="0" xfId="24" applyFont="1" applyAlignment="1">
      <alignment horizontal="center"/>
    </xf>
    <xf numFmtId="44" fontId="0" fillId="0" borderId="0" xfId="0" applyNumberFormat="1" applyAlignment="1">
      <alignment horizontal="center"/>
    </xf>
    <xf numFmtId="179" fontId="0" fillId="0" borderId="0" xfId="24" applyNumberFormat="1" applyFont="1" applyAlignment="1">
      <alignment horizontal="center"/>
    </xf>
    <xf numFmtId="43" fontId="0" fillId="0" borderId="0" xfId="2" applyFont="1" applyBorder="1" applyAlignment="1" applyProtection="1">
      <alignment horizontal="center"/>
    </xf>
    <xf numFmtId="165" fontId="66" fillId="0" borderId="0" xfId="1" applyNumberFormat="1" applyFont="1" applyFill="1" applyBorder="1" applyAlignment="1">
      <alignment horizontal="center"/>
    </xf>
    <xf numFmtId="164" fontId="69" fillId="20" borderId="0" xfId="0" applyNumberFormat="1" applyFont="1" applyFill="1" applyAlignment="1">
      <alignment horizontal="center" vertical="center"/>
    </xf>
    <xf numFmtId="192" fontId="19" fillId="12" borderId="3" xfId="0" applyNumberFormat="1" applyFont="1" applyFill="1" applyBorder="1" applyAlignment="1">
      <alignment horizontal="center" vertical="center"/>
    </xf>
    <xf numFmtId="0" fontId="0" fillId="15" borderId="5" xfId="0" applyFill="1" applyBorder="1"/>
    <xf numFmtId="6" fontId="0" fillId="15" borderId="6" xfId="24" applyNumberFormat="1" applyFont="1" applyFill="1" applyBorder="1" applyAlignment="1">
      <alignment horizontal="center"/>
    </xf>
    <xf numFmtId="6" fontId="0" fillId="0" borderId="6" xfId="24" applyNumberFormat="1" applyFont="1" applyBorder="1" applyAlignment="1">
      <alignment horizontal="center"/>
    </xf>
    <xf numFmtId="6" fontId="0" fillId="15" borderId="6" xfId="0" applyNumberFormat="1" applyFill="1" applyBorder="1" applyAlignment="1">
      <alignment horizontal="center"/>
    </xf>
    <xf numFmtId="0" fontId="12" fillId="15" borderId="7" xfId="0" applyFont="1" applyFill="1" applyBorder="1"/>
    <xf numFmtId="6" fontId="12" fillId="15" borderId="9" xfId="0" applyNumberFormat="1" applyFont="1" applyFill="1" applyBorder="1" applyAlignment="1">
      <alignment horizontal="center"/>
    </xf>
    <xf numFmtId="193" fontId="0" fillId="15" borderId="5" xfId="0" applyNumberFormat="1" applyFill="1" applyBorder="1" applyAlignment="1">
      <alignment horizontal="left"/>
    </xf>
    <xf numFmtId="6" fontId="12" fillId="0" borderId="6" xfId="0" applyNumberFormat="1" applyFont="1" applyBorder="1" applyAlignment="1">
      <alignment horizontal="center"/>
    </xf>
    <xf numFmtId="193" fontId="12" fillId="15" borderId="5" xfId="0" applyNumberFormat="1" applyFont="1" applyFill="1" applyBorder="1" applyAlignment="1">
      <alignment horizontal="left"/>
    </xf>
    <xf numFmtId="6" fontId="12" fillId="15" borderId="6" xfId="24" applyNumberFormat="1" applyFont="1" applyFill="1" applyBorder="1" applyAlignment="1">
      <alignment horizontal="center"/>
    </xf>
    <xf numFmtId="6" fontId="12" fillId="15" borderId="61" xfId="0" applyNumberFormat="1" applyFont="1" applyFill="1" applyBorder="1" applyAlignment="1">
      <alignment horizontal="center"/>
    </xf>
    <xf numFmtId="0" fontId="12" fillId="0" borderId="60" xfId="0" applyFont="1" applyBorder="1"/>
    <xf numFmtId="0" fontId="12" fillId="0" borderId="11" xfId="0" applyFont="1" applyBorder="1" applyAlignment="1">
      <alignment horizontal="left"/>
    </xf>
    <xf numFmtId="0" fontId="21" fillId="0" borderId="7" xfId="0" applyFont="1" applyBorder="1"/>
    <xf numFmtId="192" fontId="24" fillId="2" borderId="0" xfId="0" applyNumberFormat="1" applyFont="1" applyFill="1" applyAlignment="1">
      <alignment horizontal="center"/>
    </xf>
    <xf numFmtId="192" fontId="24" fillId="2" borderId="6" xfId="0" applyNumberFormat="1" applyFont="1" applyFill="1" applyBorder="1" applyAlignment="1">
      <alignment horizontal="center"/>
    </xf>
    <xf numFmtId="177" fontId="0" fillId="0" borderId="48" xfId="2" applyNumberFormat="1" applyFont="1" applyFill="1" applyBorder="1"/>
    <xf numFmtId="192" fontId="19" fillId="12" borderId="4" xfId="0" applyNumberFormat="1" applyFont="1" applyFill="1" applyBorder="1" applyAlignment="1">
      <alignment horizontal="center" vertical="center"/>
    </xf>
    <xf numFmtId="0" fontId="13" fillId="12" borderId="0" xfId="0" applyFont="1" applyFill="1" applyAlignment="1">
      <alignment horizontal="center"/>
    </xf>
    <xf numFmtId="0" fontId="19" fillId="12" borderId="0" xfId="0" applyFont="1" applyFill="1" applyAlignment="1">
      <alignment horizontal="center"/>
    </xf>
    <xf numFmtId="0" fontId="19" fillId="12" borderId="0" xfId="0" applyFont="1" applyFill="1" applyAlignment="1">
      <alignment horizontal="center" vertical="center"/>
    </xf>
    <xf numFmtId="0" fontId="12" fillId="4" borderId="0" xfId="0" applyFont="1" applyFill="1"/>
    <xf numFmtId="0" fontId="12" fillId="2" borderId="0" xfId="0" applyFont="1" applyFill="1"/>
    <xf numFmtId="0" fontId="35" fillId="0" borderId="0" xfId="0" applyFont="1" applyAlignment="1">
      <alignment horizontal="right"/>
    </xf>
    <xf numFmtId="164" fontId="12" fillId="4" borderId="0" xfId="0" applyNumberFormat="1" applyFont="1" applyFill="1" applyAlignment="1">
      <alignment horizontal="center"/>
    </xf>
    <xf numFmtId="0" fontId="16" fillId="0" borderId="0" xfId="0" applyFont="1"/>
    <xf numFmtId="0" fontId="16" fillId="4" borderId="0" xfId="0" applyFont="1" applyFill="1"/>
    <xf numFmtId="164" fontId="21" fillId="4" borderId="0" xfId="0" applyNumberFormat="1" applyFont="1" applyFill="1" applyAlignment="1" applyProtection="1">
      <alignment horizontal="center"/>
      <protection locked="0"/>
    </xf>
    <xf numFmtId="164" fontId="32" fillId="4" borderId="0" xfId="0" applyNumberFormat="1" applyFont="1" applyFill="1" applyAlignment="1" applyProtection="1">
      <alignment horizontal="center"/>
      <protection locked="0"/>
    </xf>
    <xf numFmtId="164" fontId="17" fillId="0" borderId="0" xfId="0" applyNumberFormat="1" applyFont="1" applyAlignment="1">
      <alignment horizontal="center"/>
    </xf>
    <xf numFmtId="6" fontId="0" fillId="4" borderId="0" xfId="0" applyNumberFormat="1" applyFill="1" applyAlignment="1">
      <alignment horizontal="center"/>
    </xf>
    <xf numFmtId="0" fontId="0" fillId="13" borderId="0" xfId="0" applyFill="1"/>
    <xf numFmtId="164" fontId="0" fillId="13" borderId="0" xfId="0" applyNumberFormat="1" applyFill="1" applyAlignment="1">
      <alignment horizontal="center"/>
    </xf>
    <xf numFmtId="168" fontId="35" fillId="0" borderId="0" xfId="0" applyNumberFormat="1" applyFont="1" applyAlignment="1">
      <alignment horizontal="center"/>
    </xf>
    <xf numFmtId="0" fontId="35" fillId="4" borderId="0" xfId="0" applyFont="1" applyFill="1" applyAlignment="1">
      <alignment horizontal="right"/>
    </xf>
    <xf numFmtId="0" fontId="16" fillId="0" borderId="0" xfId="0" applyFont="1" applyAlignment="1">
      <alignment horizontal="center"/>
    </xf>
    <xf numFmtId="164" fontId="64" fillId="4" borderId="0" xfId="0" applyNumberFormat="1" applyFont="1" applyFill="1" applyAlignment="1">
      <alignment horizontal="center"/>
    </xf>
    <xf numFmtId="0" fontId="87" fillId="2" borderId="5" xfId="0" applyFont="1" applyFill="1" applyBorder="1"/>
    <xf numFmtId="0" fontId="42" fillId="2" borderId="0" xfId="0" applyFont="1" applyFill="1"/>
    <xf numFmtId="164" fontId="42" fillId="2" borderId="0" xfId="0" applyNumberFormat="1" applyFont="1" applyFill="1" applyAlignment="1">
      <alignment horizontal="center"/>
    </xf>
    <xf numFmtId="9" fontId="42" fillId="2" borderId="0" xfId="1" applyFont="1" applyFill="1" applyBorder="1" applyAlignment="1">
      <alignment horizontal="center"/>
    </xf>
    <xf numFmtId="9" fontId="42" fillId="2" borderId="6" xfId="1" applyFont="1" applyFill="1" applyBorder="1" applyAlignment="1">
      <alignment horizontal="center"/>
    </xf>
    <xf numFmtId="0" fontId="73" fillId="12" borderId="0" xfId="0" applyFont="1" applyFill="1"/>
    <xf numFmtId="0" fontId="73" fillId="12" borderId="0" xfId="0" applyFont="1" applyFill="1" applyAlignment="1">
      <alignment horizontal="center"/>
    </xf>
    <xf numFmtId="0" fontId="0" fillId="2" borderId="0" xfId="0" applyFill="1" applyAlignment="1">
      <alignment horizontal="centerContinuous"/>
    </xf>
    <xf numFmtId="0" fontId="0" fillId="2" borderId="0" xfId="0" applyFill="1"/>
    <xf numFmtId="180" fontId="12" fillId="0" borderId="0" xfId="1" applyNumberFormat="1" applyFont="1" applyFill="1" applyBorder="1" applyAlignment="1"/>
    <xf numFmtId="10" fontId="12" fillId="0" borderId="0" xfId="1" applyNumberFormat="1" applyFont="1" applyFill="1" applyBorder="1" applyAlignment="1"/>
    <xf numFmtId="10" fontId="12" fillId="0" borderId="6" xfId="1" applyNumberFormat="1" applyFont="1" applyFill="1" applyBorder="1" applyAlignment="1"/>
    <xf numFmtId="0" fontId="19" fillId="12" borderId="5" xfId="0" applyFont="1" applyFill="1" applyBorder="1" applyAlignment="1">
      <alignment horizontal="centerContinuous"/>
    </xf>
    <xf numFmtId="0" fontId="19" fillId="12" borderId="6" xfId="0" applyFont="1" applyFill="1" applyBorder="1" applyAlignment="1">
      <alignment horizontal="centerContinuous"/>
    </xf>
    <xf numFmtId="0" fontId="0" fillId="4" borderId="43" xfId="0" applyFill="1" applyBorder="1" applyAlignment="1">
      <alignment horizontal="left" indent="1"/>
    </xf>
    <xf numFmtId="164" fontId="0" fillId="4" borderId="44" xfId="0" applyNumberFormat="1" applyFill="1" applyBorder="1" applyAlignment="1">
      <alignment horizontal="center"/>
    </xf>
    <xf numFmtId="0" fontId="66" fillId="0" borderId="5" xfId="0" applyFont="1" applyBorder="1" applyAlignment="1">
      <alignment horizontal="left"/>
    </xf>
    <xf numFmtId="9" fontId="66" fillId="0" borderId="6" xfId="1" applyFont="1" applyFill="1" applyBorder="1" applyAlignment="1">
      <alignment horizontal="center"/>
    </xf>
    <xf numFmtId="0" fontId="66" fillId="0" borderId="5" xfId="0" applyFont="1" applyBorder="1"/>
    <xf numFmtId="9" fontId="66" fillId="0" borderId="48" xfId="1" applyFont="1" applyFill="1" applyBorder="1" applyAlignment="1">
      <alignment horizontal="center"/>
    </xf>
    <xf numFmtId="0" fontId="66" fillId="0" borderId="49" xfId="0" applyFont="1" applyBorder="1"/>
    <xf numFmtId="165" fontId="66" fillId="0" borderId="48" xfId="0" applyNumberFormat="1" applyFont="1" applyBorder="1" applyAlignment="1">
      <alignment horizontal="center"/>
    </xf>
    <xf numFmtId="0" fontId="0" fillId="0" borderId="50" xfId="0" applyBorder="1"/>
    <xf numFmtId="0" fontId="12" fillId="0" borderId="51" xfId="0" applyFont="1" applyBorder="1" applyAlignment="1">
      <alignment horizontal="center"/>
    </xf>
    <xf numFmtId="0" fontId="12" fillId="0" borderId="5" xfId="0" applyFont="1" applyBorder="1" applyAlignment="1">
      <alignment horizontal="left" indent="1"/>
    </xf>
    <xf numFmtId="9" fontId="66" fillId="0" borderId="6" xfId="1" applyFont="1" applyBorder="1" applyAlignment="1">
      <alignment horizontal="center"/>
    </xf>
    <xf numFmtId="0" fontId="0" fillId="15" borderId="43" xfId="0" applyFill="1" applyBorder="1" applyAlignment="1">
      <alignment horizontal="left" indent="1"/>
    </xf>
    <xf numFmtId="164" fontId="0" fillId="15" borderId="44" xfId="0" applyNumberFormat="1" applyFill="1" applyBorder="1" applyAlignment="1">
      <alignment horizontal="center"/>
    </xf>
    <xf numFmtId="0" fontId="0" fillId="18" borderId="43" xfId="0" applyFill="1" applyBorder="1" applyAlignment="1">
      <alignment horizontal="left" indent="1"/>
    </xf>
    <xf numFmtId="164" fontId="0" fillId="18" borderId="44" xfId="0" applyNumberFormat="1" applyFill="1" applyBorder="1" applyAlignment="1">
      <alignment horizontal="center"/>
    </xf>
    <xf numFmtId="164" fontId="0" fillId="0" borderId="51" xfId="0" applyNumberFormat="1" applyBorder="1" applyAlignment="1">
      <alignment horizontal="center"/>
    </xf>
    <xf numFmtId="166" fontId="0" fillId="0" borderId="6" xfId="0" applyNumberFormat="1" applyBorder="1"/>
    <xf numFmtId="164" fontId="12" fillId="15" borderId="43" xfId="0" applyNumberFormat="1" applyFont="1" applyFill="1" applyBorder="1" applyAlignment="1">
      <alignment horizontal="center"/>
    </xf>
    <xf numFmtId="164" fontId="12" fillId="18" borderId="43" xfId="0" applyNumberFormat="1" applyFont="1" applyFill="1" applyBorder="1" applyAlignment="1">
      <alignment horizontal="center"/>
    </xf>
    <xf numFmtId="164" fontId="66" fillId="0" borderId="49" xfId="0" applyNumberFormat="1" applyFont="1" applyBorder="1" applyAlignment="1">
      <alignment horizontal="center"/>
    </xf>
    <xf numFmtId="164" fontId="66" fillId="0" borderId="48" xfId="2" applyNumberFormat="1" applyFont="1" applyBorder="1" applyAlignment="1">
      <alignment horizontal="center"/>
    </xf>
    <xf numFmtId="164" fontId="66" fillId="0" borderId="5" xfId="0" applyNumberFormat="1" applyFont="1" applyBorder="1" applyAlignment="1">
      <alignment horizontal="center"/>
    </xf>
    <xf numFmtId="164" fontId="66" fillId="0" borderId="6" xfId="0" applyNumberFormat="1" applyFont="1" applyBorder="1" applyAlignment="1">
      <alignment horizontal="center"/>
    </xf>
    <xf numFmtId="9" fontId="37" fillId="0" borderId="0" xfId="0" applyNumberFormat="1" applyFont="1" applyAlignment="1">
      <alignment horizontal="center"/>
    </xf>
    <xf numFmtId="43" fontId="37" fillId="0" borderId="0" xfId="2" applyFont="1" applyAlignment="1">
      <alignment horizontal="center"/>
    </xf>
    <xf numFmtId="43" fontId="37" fillId="0" borderId="0" xfId="0" applyNumberFormat="1" applyFont="1" applyAlignment="1">
      <alignment horizontal="center"/>
    </xf>
    <xf numFmtId="0" fontId="37" fillId="0" borderId="0" xfId="0" applyFont="1"/>
    <xf numFmtId="3" fontId="84" fillId="0" borderId="0" xfId="0" applyNumberFormat="1" applyFont="1" applyAlignment="1">
      <alignment horizontal="center"/>
    </xf>
    <xf numFmtId="3" fontId="37" fillId="0" borderId="0" xfId="0" applyNumberFormat="1" applyFont="1" applyAlignment="1">
      <alignment horizontal="center"/>
    </xf>
    <xf numFmtId="164" fontId="37" fillId="0" borderId="0" xfId="1" applyNumberFormat="1" applyFont="1" applyAlignment="1">
      <alignment horizontal="center"/>
    </xf>
    <xf numFmtId="9" fontId="37" fillId="0" borderId="0" xfId="2" applyNumberFormat="1" applyFont="1" applyAlignment="1">
      <alignment horizontal="center"/>
    </xf>
    <xf numFmtId="164" fontId="37" fillId="0" borderId="0" xfId="0" applyNumberFormat="1" applyFont="1" applyAlignment="1">
      <alignment horizontal="center"/>
    </xf>
    <xf numFmtId="0" fontId="49" fillId="0" borderId="0" xfId="34" applyFont="1" applyAlignment="1">
      <alignment horizontal="center"/>
    </xf>
    <xf numFmtId="0" fontId="49" fillId="0" borderId="0" xfId="34" applyFont="1" applyAlignment="1">
      <alignment horizontal="left"/>
    </xf>
    <xf numFmtId="5" fontId="49" fillId="0" borderId="0" xfId="34" applyNumberFormat="1" applyFont="1" applyAlignment="1">
      <alignment horizontal="center"/>
    </xf>
    <xf numFmtId="0" fontId="89" fillId="0" borderId="0" xfId="34" applyFont="1" applyAlignment="1">
      <alignment horizontal="left"/>
    </xf>
    <xf numFmtId="0" fontId="49" fillId="0" borderId="0" xfId="34" applyFont="1"/>
    <xf numFmtId="0" fontId="88" fillId="0" borderId="0" xfId="34"/>
    <xf numFmtId="10" fontId="49" fillId="0" borderId="0" xfId="34" applyNumberFormat="1" applyFont="1" applyAlignment="1">
      <alignment horizontal="center"/>
    </xf>
    <xf numFmtId="6" fontId="49" fillId="0" borderId="0" xfId="34" applyNumberFormat="1" applyFont="1" applyAlignment="1">
      <alignment horizontal="center"/>
    </xf>
    <xf numFmtId="9" fontId="49" fillId="0" borderId="0" xfId="34" applyNumberFormat="1" applyFont="1" applyAlignment="1">
      <alignment horizontal="center"/>
    </xf>
    <xf numFmtId="0" fontId="49" fillId="0" borderId="16" xfId="34" applyFont="1" applyBorder="1" applyAlignment="1">
      <alignment horizontal="center" vertical="center"/>
    </xf>
    <xf numFmtId="0" fontId="49" fillId="0" borderId="16" xfId="34" applyFont="1" applyBorder="1" applyAlignment="1">
      <alignment horizontal="center" vertical="center" wrapText="1"/>
    </xf>
    <xf numFmtId="0" fontId="49" fillId="30" borderId="16" xfId="34" applyFont="1" applyFill="1" applyBorder="1" applyAlignment="1">
      <alignment horizontal="center" vertical="center"/>
    </xf>
    <xf numFmtId="14" fontId="90" fillId="0" borderId="0" xfId="34" applyNumberFormat="1" applyFont="1" applyAlignment="1">
      <alignment horizontal="center"/>
    </xf>
    <xf numFmtId="177" fontId="90" fillId="0" borderId="0" xfId="35" applyNumberFormat="1" applyFont="1" applyAlignment="1">
      <alignment horizontal="center"/>
    </xf>
    <xf numFmtId="6" fontId="90" fillId="30" borderId="0" xfId="34" applyNumberFormat="1" applyFont="1" applyFill="1" applyAlignment="1">
      <alignment horizontal="center"/>
    </xf>
    <xf numFmtId="6" fontId="90" fillId="0" borderId="0" xfId="34" applyNumberFormat="1" applyFont="1" applyAlignment="1">
      <alignment horizontal="center"/>
    </xf>
    <xf numFmtId="6" fontId="91" fillId="0" borderId="0" xfId="34" applyNumberFormat="1" applyFont="1" applyAlignment="1">
      <alignment horizontal="center"/>
    </xf>
    <xf numFmtId="0" fontId="49" fillId="0" borderId="13" xfId="34" applyFont="1" applyBorder="1" applyAlignment="1">
      <alignment horizontal="center"/>
    </xf>
    <xf numFmtId="177" fontId="90" fillId="0" borderId="0" xfId="35" applyNumberFormat="1" applyFont="1" applyBorder="1" applyAlignment="1">
      <alignment horizontal="center"/>
    </xf>
    <xf numFmtId="6" fontId="90" fillId="0" borderId="14" xfId="34" applyNumberFormat="1" applyFont="1" applyBorder="1" applyAlignment="1">
      <alignment horizontal="center"/>
    </xf>
    <xf numFmtId="6" fontId="49" fillId="0" borderId="14" xfId="34" applyNumberFormat="1" applyFont="1" applyBorder="1" applyAlignment="1">
      <alignment horizontal="center"/>
    </xf>
    <xf numFmtId="0" fontId="49" fillId="0" borderId="62" xfId="34" applyFont="1" applyBorder="1" applyAlignment="1">
      <alignment horizontal="center"/>
    </xf>
    <xf numFmtId="14" fontId="90" fillId="0" borderId="8" xfId="34" applyNumberFormat="1" applyFont="1" applyBorder="1" applyAlignment="1">
      <alignment horizontal="center"/>
    </xf>
    <xf numFmtId="177" fontId="90" fillId="0" borderId="8" xfId="35" applyNumberFormat="1" applyFont="1" applyBorder="1" applyAlignment="1">
      <alignment horizontal="center"/>
    </xf>
    <xf numFmtId="6" fontId="90" fillId="30" borderId="8" xfId="34" applyNumberFormat="1" applyFont="1" applyFill="1" applyBorder="1" applyAlignment="1">
      <alignment horizontal="center"/>
    </xf>
    <xf numFmtId="6" fontId="90" fillId="0" borderId="8" xfId="34" applyNumberFormat="1" applyFont="1" applyBorder="1" applyAlignment="1">
      <alignment horizontal="center"/>
    </xf>
    <xf numFmtId="6" fontId="49" fillId="0" borderId="8" xfId="34" applyNumberFormat="1" applyFont="1" applyBorder="1" applyAlignment="1">
      <alignment horizontal="center"/>
    </xf>
    <xf numFmtId="6" fontId="49" fillId="0" borderId="63" xfId="34" applyNumberFormat="1" applyFont="1" applyBorder="1" applyAlignment="1">
      <alignment horizontal="center"/>
    </xf>
    <xf numFmtId="0" fontId="49" fillId="15" borderId="60" xfId="34" applyFont="1" applyFill="1" applyBorder="1" applyAlignment="1">
      <alignment horizontal="center"/>
    </xf>
    <xf numFmtId="14" fontId="49" fillId="0" borderId="8" xfId="34" applyNumberFormat="1" applyFont="1" applyBorder="1" applyAlignment="1">
      <alignment horizontal="center"/>
    </xf>
    <xf numFmtId="177" fontId="49" fillId="15" borderId="64" xfId="35" applyNumberFormat="1" applyFont="1" applyFill="1" applyBorder="1" applyAlignment="1">
      <alignment horizontal="center"/>
    </xf>
    <xf numFmtId="6" fontId="49" fillId="15" borderId="64" xfId="34" applyNumberFormat="1" applyFont="1" applyFill="1" applyBorder="1" applyAlignment="1">
      <alignment horizontal="center"/>
    </xf>
    <xf numFmtId="14" fontId="49" fillId="0" borderId="0" xfId="34" applyNumberFormat="1" applyFont="1"/>
    <xf numFmtId="177" fontId="49" fillId="0" borderId="0" xfId="35" applyNumberFormat="1" applyFont="1" applyBorder="1" applyAlignment="1">
      <alignment horizontal="center"/>
    </xf>
    <xf numFmtId="165" fontId="12" fillId="0" borderId="0" xfId="0" applyNumberFormat="1" applyFont="1" applyAlignment="1">
      <alignment horizontal="center"/>
    </xf>
    <xf numFmtId="0" fontId="82" fillId="0" borderId="0" xfId="0" applyFont="1"/>
    <xf numFmtId="165" fontId="82" fillId="0" borderId="0" xfId="0" applyNumberFormat="1" applyFont="1" applyAlignment="1">
      <alignment horizontal="center"/>
    </xf>
    <xf numFmtId="0" fontId="58" fillId="0" borderId="0" xfId="0" applyFont="1"/>
    <xf numFmtId="164" fontId="58" fillId="0" borderId="0" xfId="0" applyNumberFormat="1" applyFont="1" applyAlignment="1">
      <alignment horizontal="center"/>
    </xf>
    <xf numFmtId="164" fontId="66" fillId="0" borderId="0" xfId="0" applyNumberFormat="1" applyFont="1" applyAlignment="1">
      <alignment horizontal="center"/>
    </xf>
    <xf numFmtId="165" fontId="24" fillId="0" borderId="0" xfId="0" applyNumberFormat="1" applyFont="1" applyAlignment="1">
      <alignment horizontal="center"/>
    </xf>
    <xf numFmtId="177" fontId="1" fillId="20" borderId="0" xfId="2" applyNumberFormat="1" applyFont="1" applyFill="1"/>
    <xf numFmtId="177" fontId="1" fillId="20" borderId="0" xfId="2" applyNumberFormat="1" applyFont="1" applyFill="1" applyBorder="1"/>
    <xf numFmtId="177" fontId="1" fillId="20" borderId="16" xfId="2" applyNumberFormat="1" applyFont="1" applyFill="1" applyBorder="1"/>
    <xf numFmtId="0" fontId="1" fillId="20" borderId="0" xfId="8" applyFont="1" applyFill="1"/>
    <xf numFmtId="43" fontId="1" fillId="20" borderId="0" xfId="2" applyFont="1" applyFill="1"/>
    <xf numFmtId="177" fontId="1" fillId="0" borderId="0" xfId="2" applyNumberFormat="1" applyFont="1" applyFill="1" applyBorder="1"/>
    <xf numFmtId="0" fontId="1" fillId="20" borderId="13" xfId="22" applyFont="1" applyFill="1" applyBorder="1" applyAlignment="1">
      <alignment horizontal="left"/>
    </xf>
    <xf numFmtId="166" fontId="1" fillId="20" borderId="0" xfId="22" applyNumberFormat="1" applyFont="1" applyFill="1" applyAlignment="1">
      <alignment horizontal="left"/>
    </xf>
    <xf numFmtId="0" fontId="1" fillId="20" borderId="0" xfId="22" applyFont="1" applyFill="1" applyAlignment="1">
      <alignment horizontal="center"/>
    </xf>
    <xf numFmtId="0" fontId="1" fillId="26" borderId="0" xfId="22" applyFont="1" applyFill="1" applyAlignment="1">
      <alignment horizontal="center"/>
    </xf>
    <xf numFmtId="0" fontId="1" fillId="26" borderId="13" xfId="22" applyFont="1" applyFill="1" applyBorder="1" applyAlignment="1">
      <alignment horizontal="left"/>
    </xf>
    <xf numFmtId="10" fontId="1" fillId="26" borderId="0" xfId="22" applyNumberFormat="1" applyFont="1" applyFill="1" applyAlignment="1">
      <alignment horizontal="center"/>
    </xf>
    <xf numFmtId="166" fontId="1" fillId="26" borderId="0" xfId="22" applyNumberFormat="1" applyFont="1" applyFill="1" applyAlignment="1">
      <alignment horizontal="left"/>
    </xf>
    <xf numFmtId="0" fontId="1" fillId="27" borderId="13" xfId="22" applyFont="1" applyFill="1" applyBorder="1" applyAlignment="1">
      <alignment horizontal="left"/>
    </xf>
    <xf numFmtId="0" fontId="1" fillId="27" borderId="0" xfId="22" applyFont="1" applyFill="1" applyAlignment="1">
      <alignment horizontal="center"/>
    </xf>
    <xf numFmtId="9" fontId="1" fillId="27" borderId="0" xfId="22" applyNumberFormat="1" applyFont="1" applyFill="1" applyAlignment="1">
      <alignment horizontal="center"/>
    </xf>
    <xf numFmtId="166" fontId="1" fillId="27" borderId="0" xfId="22" applyNumberFormat="1" applyFont="1" applyFill="1" applyAlignment="1">
      <alignment horizontal="left"/>
    </xf>
    <xf numFmtId="0" fontId="1" fillId="20" borderId="14" xfId="22" applyFont="1" applyFill="1" applyBorder="1" applyAlignment="1">
      <alignment horizontal="center"/>
    </xf>
    <xf numFmtId="0" fontId="1" fillId="20" borderId="15" xfId="22" applyFont="1" applyFill="1" applyBorder="1" applyAlignment="1">
      <alignment horizontal="left"/>
    </xf>
    <xf numFmtId="0" fontId="1" fillId="20" borderId="16" xfId="22" applyFont="1" applyFill="1" applyBorder="1" applyAlignment="1">
      <alignment horizontal="center"/>
    </xf>
    <xf numFmtId="10" fontId="1" fillId="0" borderId="11" xfId="1" applyNumberFormat="1" applyFont="1" applyBorder="1" applyAlignment="1">
      <alignment horizontal="center"/>
    </xf>
    <xf numFmtId="164" fontId="1" fillId="0" borderId="11" xfId="2" applyNumberFormat="1" applyFont="1" applyBorder="1" applyAlignment="1">
      <alignment horizontal="center"/>
    </xf>
    <xf numFmtId="2" fontId="1" fillId="0" borderId="11" xfId="2" applyNumberFormat="1" applyFont="1" applyBorder="1" applyAlignment="1">
      <alignment horizontal="center"/>
    </xf>
    <xf numFmtId="165" fontId="1" fillId="0" borderId="12" xfId="1" applyNumberFormat="1" applyFont="1" applyBorder="1" applyAlignment="1">
      <alignment horizontal="center"/>
    </xf>
    <xf numFmtId="10" fontId="1" fillId="0" borderId="0" xfId="1" applyNumberFormat="1" applyFont="1" applyBorder="1" applyAlignment="1">
      <alignment horizontal="center"/>
    </xf>
    <xf numFmtId="164" fontId="1" fillId="0" borderId="0" xfId="2" applyNumberFormat="1" applyFont="1" applyBorder="1" applyAlignment="1">
      <alignment horizontal="center"/>
    </xf>
    <xf numFmtId="2" fontId="1" fillId="0" borderId="0" xfId="2" applyNumberFormat="1" applyFont="1" applyAlignment="1">
      <alignment horizontal="center"/>
    </xf>
    <xf numFmtId="165" fontId="1" fillId="0" borderId="14" xfId="1" applyNumberFormat="1" applyFont="1" applyBorder="1" applyAlignment="1">
      <alignment horizontal="center"/>
    </xf>
    <xf numFmtId="10" fontId="1" fillId="0" borderId="16" xfId="1" applyNumberFormat="1" applyFont="1" applyBorder="1" applyAlignment="1">
      <alignment horizontal="center"/>
    </xf>
    <xf numFmtId="164" fontId="1" fillId="0" borderId="16" xfId="2" applyNumberFormat="1" applyFont="1" applyBorder="1" applyAlignment="1">
      <alignment horizontal="center"/>
    </xf>
    <xf numFmtId="2" fontId="1" fillId="0" borderId="16" xfId="2" applyNumberFormat="1" applyFont="1" applyBorder="1" applyAlignment="1">
      <alignment horizontal="center"/>
    </xf>
    <xf numFmtId="165" fontId="1" fillId="0" borderId="17" xfId="1" applyNumberFormat="1" applyFont="1" applyBorder="1" applyAlignment="1">
      <alignment horizontal="center"/>
    </xf>
    <xf numFmtId="10" fontId="1" fillId="0" borderId="12" xfId="1" applyNumberFormat="1" applyFont="1" applyBorder="1" applyAlignment="1">
      <alignment horizontal="center"/>
    </xf>
    <xf numFmtId="10" fontId="1" fillId="0" borderId="14" xfId="1" applyNumberFormat="1" applyFont="1" applyBorder="1" applyAlignment="1">
      <alignment horizontal="center"/>
    </xf>
    <xf numFmtId="43" fontId="1" fillId="0" borderId="0" xfId="2" applyFont="1"/>
    <xf numFmtId="165" fontId="1" fillId="0" borderId="0" xfId="1" applyNumberFormat="1" applyFont="1"/>
    <xf numFmtId="9" fontId="1" fillId="0" borderId="11" xfId="1" applyFont="1" applyBorder="1" applyAlignment="1">
      <alignment horizontal="center"/>
    </xf>
    <xf numFmtId="9" fontId="1" fillId="0" borderId="0" xfId="1" applyFont="1" applyBorder="1" applyAlignment="1">
      <alignment horizontal="center"/>
    </xf>
    <xf numFmtId="10" fontId="1" fillId="0" borderId="14" xfId="1" applyNumberFormat="1" applyFont="1" applyFill="1" applyBorder="1" applyAlignment="1">
      <alignment horizontal="center"/>
    </xf>
    <xf numFmtId="10" fontId="1" fillId="0" borderId="17" xfId="1" applyNumberFormat="1" applyFont="1" applyFill="1" applyBorder="1" applyAlignment="1">
      <alignment horizontal="center"/>
    </xf>
    <xf numFmtId="10" fontId="1" fillId="0" borderId="14" xfId="1" applyNumberFormat="1" applyFont="1" applyFill="1" applyBorder="1"/>
    <xf numFmtId="10" fontId="1" fillId="0" borderId="17" xfId="1" applyNumberFormat="1" applyFont="1" applyFill="1" applyBorder="1"/>
    <xf numFmtId="0" fontId="73" fillId="20" borderId="0" xfId="0" applyFont="1" applyFill="1" applyAlignment="1">
      <alignment horizontal="center"/>
    </xf>
    <xf numFmtId="0" fontId="92" fillId="20" borderId="0" xfId="0" applyFont="1" applyFill="1" applyAlignment="1">
      <alignment horizontal="left" indent="2"/>
    </xf>
    <xf numFmtId="194" fontId="69" fillId="0" borderId="0" xfId="0" applyNumberFormat="1" applyFont="1" applyAlignment="1">
      <alignment horizontal="center" vertical="center"/>
    </xf>
    <xf numFmtId="194" fontId="92" fillId="20" borderId="0" xfId="0" applyNumberFormat="1" applyFont="1" applyFill="1" applyAlignment="1">
      <alignment horizontal="center"/>
    </xf>
    <xf numFmtId="0" fontId="92" fillId="20" borderId="0" xfId="0" applyFont="1" applyFill="1" applyAlignment="1">
      <alignment horizontal="center" vertical="center"/>
    </xf>
    <xf numFmtId="0" fontId="92" fillId="0" borderId="0" xfId="0" applyFont="1" applyAlignment="1">
      <alignment horizontal="center" vertical="center" wrapText="1"/>
    </xf>
    <xf numFmtId="0" fontId="69" fillId="20" borderId="0" xfId="0" applyFont="1" applyFill="1" applyAlignment="1">
      <alignment vertical="center"/>
    </xf>
    <xf numFmtId="0" fontId="69" fillId="20" borderId="0" xfId="0" applyFont="1" applyFill="1" applyAlignment="1">
      <alignment horizontal="center" vertical="center"/>
    </xf>
    <xf numFmtId="0" fontId="69" fillId="20" borderId="0" xfId="0" applyFont="1" applyFill="1" applyAlignment="1">
      <alignment vertical="center" wrapText="1"/>
    </xf>
    <xf numFmtId="0" fontId="24" fillId="18" borderId="5" xfId="0" applyFont="1" applyFill="1" applyBorder="1" applyAlignment="1" applyProtection="1">
      <alignment horizontal="center"/>
      <protection locked="0"/>
    </xf>
    <xf numFmtId="0" fontId="24" fillId="18" borderId="0" xfId="0" applyFont="1" applyFill="1" applyAlignment="1" applyProtection="1">
      <alignment horizontal="center"/>
      <protection locked="0"/>
    </xf>
    <xf numFmtId="0" fontId="24" fillId="18" borderId="6" xfId="0" applyFont="1" applyFill="1" applyBorder="1" applyAlignment="1" applyProtection="1">
      <alignment horizontal="center"/>
      <protection locked="0"/>
    </xf>
    <xf numFmtId="0" fontId="19" fillId="12" borderId="2" xfId="0" applyFont="1" applyFill="1" applyBorder="1" applyAlignment="1">
      <alignment horizontal="center"/>
    </xf>
    <xf numFmtId="0" fontId="19" fillId="12" borderId="3" xfId="0" applyFont="1" applyFill="1" applyBorder="1" applyAlignment="1">
      <alignment horizontal="center"/>
    </xf>
    <xf numFmtId="0" fontId="19" fillId="12" borderId="4" xfId="0" applyFont="1" applyFill="1" applyBorder="1" applyAlignment="1">
      <alignment horizontal="center"/>
    </xf>
    <xf numFmtId="0" fontId="19" fillId="12" borderId="2" xfId="0" applyFont="1" applyFill="1" applyBorder="1" applyAlignment="1" applyProtection="1">
      <alignment horizontal="center"/>
      <protection locked="0"/>
    </xf>
    <xf numFmtId="0" fontId="19" fillId="12" borderId="3" xfId="0" applyFont="1" applyFill="1" applyBorder="1" applyAlignment="1" applyProtection="1">
      <alignment horizontal="center"/>
      <protection locked="0"/>
    </xf>
    <xf numFmtId="0" fontId="19" fillId="12" borderId="4" xfId="0" applyFont="1" applyFill="1" applyBorder="1" applyAlignment="1" applyProtection="1">
      <alignment horizontal="center"/>
      <protection locked="0"/>
    </xf>
    <xf numFmtId="0" fontId="11" fillId="12" borderId="0" xfId="0" applyFont="1" applyFill="1" applyAlignment="1">
      <alignment horizontal="center"/>
    </xf>
    <xf numFmtId="164"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0" fontId="37" fillId="0" borderId="0" xfId="0" applyFont="1" applyAlignment="1">
      <alignment horizontal="center"/>
    </xf>
    <xf numFmtId="0" fontId="19" fillId="0" borderId="0" xfId="0" applyFont="1" applyAlignment="1">
      <alignment horizontal="center"/>
    </xf>
    <xf numFmtId="164" fontId="19" fillId="0" borderId="0" xfId="0" applyNumberFormat="1" applyFont="1" applyAlignment="1">
      <alignment horizontal="center"/>
    </xf>
    <xf numFmtId="0" fontId="23" fillId="0" borderId="10" xfId="0" applyFont="1" applyBorder="1" applyAlignment="1">
      <alignment horizontal="center"/>
    </xf>
    <xf numFmtId="0" fontId="23" fillId="0" borderId="11" xfId="0" applyFont="1" applyBorder="1" applyAlignment="1">
      <alignment horizontal="center"/>
    </xf>
    <xf numFmtId="0" fontId="23" fillId="0" borderId="12" xfId="0" applyFont="1" applyBorder="1" applyAlignment="1">
      <alignment horizontal="center"/>
    </xf>
    <xf numFmtId="0" fontId="23" fillId="0" borderId="5" xfId="0" applyFont="1" applyBorder="1" applyAlignment="1">
      <alignment horizontal="center" vertical="center" textRotation="90"/>
    </xf>
    <xf numFmtId="0" fontId="23" fillId="0" borderId="7" xfId="0" applyFont="1" applyBorder="1" applyAlignment="1">
      <alignment horizontal="center" vertical="center" textRotation="90"/>
    </xf>
    <xf numFmtId="0" fontId="25" fillId="0" borderId="0" xfId="0" applyFont="1" applyAlignment="1">
      <alignment horizontal="center" vertical="center"/>
    </xf>
    <xf numFmtId="0" fontId="25" fillId="0" borderId="6" xfId="0" applyFont="1" applyBorder="1" applyAlignment="1">
      <alignment horizontal="center" vertical="center"/>
    </xf>
    <xf numFmtId="0" fontId="23" fillId="0" borderId="5" xfId="0" applyFont="1" applyBorder="1" applyAlignment="1">
      <alignment horizontal="center" vertical="center"/>
    </xf>
    <xf numFmtId="0" fontId="23" fillId="0" borderId="0" xfId="0" applyFont="1" applyAlignment="1">
      <alignment horizontal="center" vertical="center"/>
    </xf>
    <xf numFmtId="0" fontId="38" fillId="0" borderId="2" xfId="0" applyFont="1" applyBorder="1" applyAlignment="1">
      <alignment horizontal="center"/>
    </xf>
    <xf numFmtId="0" fontId="38" fillId="0" borderId="3" xfId="0" applyFont="1" applyBorder="1" applyAlignment="1">
      <alignment horizontal="center"/>
    </xf>
    <xf numFmtId="0" fontId="38" fillId="0" borderId="4" xfId="0" applyFont="1" applyBorder="1" applyAlignment="1">
      <alignment horizontal="center"/>
    </xf>
    <xf numFmtId="0" fontId="23" fillId="0" borderId="0" xfId="0" applyFont="1" applyAlignment="1">
      <alignment horizontal="center"/>
    </xf>
    <xf numFmtId="0" fontId="23" fillId="0" borderId="6" xfId="0" applyFont="1" applyBorder="1" applyAlignment="1">
      <alignment horizontal="center"/>
    </xf>
    <xf numFmtId="0" fontId="51" fillId="9" borderId="0" xfId="7" applyFont="1" applyFill="1" applyAlignment="1">
      <alignment horizontal="center"/>
    </xf>
    <xf numFmtId="0" fontId="31" fillId="0" borderId="0" xfId="7" applyFont="1"/>
    <xf numFmtId="0" fontId="51" fillId="9" borderId="6" xfId="7" applyFont="1" applyFill="1" applyBorder="1" applyAlignment="1">
      <alignment horizontal="center" wrapText="1"/>
    </xf>
    <xf numFmtId="0" fontId="48" fillId="0" borderId="6" xfId="7" applyBorder="1"/>
    <xf numFmtId="0" fontId="51" fillId="9" borderId="0" xfId="7" applyFont="1" applyFill="1" applyAlignment="1">
      <alignment horizontal="center" wrapText="1"/>
    </xf>
    <xf numFmtId="0" fontId="48" fillId="0" borderId="0" xfId="7"/>
    <xf numFmtId="0" fontId="19" fillId="3" borderId="30" xfId="0" applyFont="1" applyFill="1" applyBorder="1" applyAlignment="1">
      <alignment horizontal="center"/>
    </xf>
    <xf numFmtId="0" fontId="21" fillId="0" borderId="0" xfId="0" applyFont="1" applyAlignment="1">
      <alignment horizontal="center"/>
    </xf>
    <xf numFmtId="0" fontId="24" fillId="0" borderId="0" xfId="0" applyFont="1" applyAlignment="1">
      <alignment horizontal="center"/>
    </xf>
    <xf numFmtId="0" fontId="0" fillId="0" borderId="0" xfId="0" applyAlignment="1">
      <alignment horizontal="left" vertical="center" wrapText="1"/>
    </xf>
    <xf numFmtId="0" fontId="35" fillId="0" borderId="0" xfId="0" applyFont="1" applyAlignment="1" applyProtection="1">
      <alignment horizontal="center" vertical="center" wrapText="1"/>
      <protection locked="0"/>
    </xf>
    <xf numFmtId="0" fontId="19" fillId="3" borderId="0" xfId="0" applyFont="1" applyFill="1" applyAlignment="1">
      <alignment horizontal="center"/>
    </xf>
    <xf numFmtId="0" fontId="34" fillId="0" borderId="28" xfId="0" applyFont="1" applyBorder="1" applyAlignment="1">
      <alignment horizontal="center"/>
    </xf>
    <xf numFmtId="0" fontId="34" fillId="0" borderId="29" xfId="0" applyFont="1" applyBorder="1" applyAlignment="1">
      <alignment horizontal="center"/>
    </xf>
    <xf numFmtId="0" fontId="27" fillId="3" borderId="2" xfId="0" applyFont="1" applyFill="1" applyBorder="1" applyAlignment="1">
      <alignment horizontal="center"/>
    </xf>
    <xf numFmtId="0" fontId="27" fillId="3" borderId="3" xfId="0" applyFont="1" applyFill="1" applyBorder="1" applyAlignment="1">
      <alignment horizontal="center"/>
    </xf>
    <xf numFmtId="0" fontId="27" fillId="3" borderId="4" xfId="0" applyFont="1" applyFill="1" applyBorder="1" applyAlignment="1">
      <alignment horizontal="center"/>
    </xf>
    <xf numFmtId="0" fontId="26" fillId="5" borderId="5" xfId="0" applyFont="1" applyFill="1" applyBorder="1" applyAlignment="1">
      <alignment horizontal="center"/>
    </xf>
    <xf numFmtId="0" fontId="26" fillId="5" borderId="0" xfId="0" applyFont="1" applyFill="1" applyAlignment="1">
      <alignment horizontal="center"/>
    </xf>
    <xf numFmtId="0" fontId="26" fillId="5" borderId="6" xfId="0" applyFont="1" applyFill="1" applyBorder="1" applyAlignment="1">
      <alignment horizontal="center"/>
    </xf>
    <xf numFmtId="10" fontId="0" fillId="0" borderId="0" xfId="1" applyNumberFormat="1" applyFont="1" applyAlignment="1">
      <alignment horizontal="center"/>
    </xf>
    <xf numFmtId="165" fontId="0" fillId="0" borderId="0" xfId="1" applyNumberFormat="1" applyFont="1" applyAlignment="1">
      <alignment horizontal="center"/>
    </xf>
    <xf numFmtId="6" fontId="0" fillId="0" borderId="0" xfId="0" applyNumberFormat="1" applyAlignment="1">
      <alignment horizontal="center"/>
    </xf>
    <xf numFmtId="0" fontId="12" fillId="0" borderId="0" xfId="0" applyFont="1"/>
    <xf numFmtId="0" fontId="19" fillId="3" borderId="0" xfId="0" applyFont="1" applyFill="1" applyAlignment="1">
      <alignment horizontal="center" vertical="center"/>
    </xf>
    <xf numFmtId="0" fontId="26" fillId="0" borderId="2" xfId="0" applyFont="1" applyBorder="1" applyAlignment="1">
      <alignment horizontal="center"/>
    </xf>
    <xf numFmtId="0" fontId="26" fillId="0" borderId="3" xfId="0" applyFont="1" applyBorder="1" applyAlignment="1">
      <alignment horizontal="center"/>
    </xf>
    <xf numFmtId="0" fontId="26" fillId="0" borderId="4" xfId="0" applyFont="1" applyBorder="1" applyAlignment="1">
      <alignment horizontal="center"/>
    </xf>
    <xf numFmtId="0" fontId="37" fillId="0" borderId="30" xfId="0" applyFont="1" applyBorder="1" applyAlignment="1">
      <alignment horizontal="center" vertical="center"/>
    </xf>
    <xf numFmtId="168" fontId="0" fillId="0" borderId="0" xfId="0" applyNumberFormat="1" applyAlignment="1">
      <alignment horizontal="center"/>
    </xf>
  </cellXfs>
  <cellStyles count="36">
    <cellStyle name="Comma" xfId="2" builtinId="3"/>
    <cellStyle name="Comma 2" xfId="5" xr:uid="{7011FEA2-7E31-4DFF-A636-564BBC91178E}"/>
    <cellStyle name="Comma 3" xfId="11" xr:uid="{C8BBBBDD-F1DA-4824-8CD4-01612C852CC3}"/>
    <cellStyle name="Comma 3 2" xfId="35" xr:uid="{3C3B2EC8-5FD9-4A37-B44B-76950DA3DD12}"/>
    <cellStyle name="Comma 4" xfId="15" xr:uid="{EDEA690C-AA8A-4166-A9A8-CE1435EBAA20}"/>
    <cellStyle name="Comma 4 2" xfId="23" xr:uid="{5E543D6B-A547-4B54-8F8C-FD649A999937}"/>
    <cellStyle name="Comma 5" xfId="17" xr:uid="{50C7B001-8DF0-47A2-AC2C-1AC0A4312333}"/>
    <cellStyle name="Comma 6" xfId="26" xr:uid="{DF7C2136-6D50-4F84-B15B-CB9BDCCDE1CE}"/>
    <cellStyle name="Currency" xfId="24" builtinId="4"/>
    <cellStyle name="Currency 2" xfId="6" xr:uid="{3146127D-1A17-45BA-9777-C6DEB6964D03}"/>
    <cellStyle name="Currency 3" xfId="9" xr:uid="{AE6BABE3-04C9-46F2-AE99-036C7B9BA37C}"/>
    <cellStyle name="Currency 4" xfId="29" xr:uid="{345DA474-BCA5-477D-8471-FC0C372CDFB0}"/>
    <cellStyle name="Hyperlink" xfId="21" builtinId="8"/>
    <cellStyle name="Hyperlink 2" xfId="14" xr:uid="{45305D76-821B-4336-8CE9-197DD33A737A}"/>
    <cellStyle name="Normal" xfId="0" builtinId="0"/>
    <cellStyle name="Normal 10" xfId="25" xr:uid="{5BF2569C-7D9A-4663-90AF-BC60F4BFA6F9}"/>
    <cellStyle name="Normal 11" xfId="30" xr:uid="{4B683535-701D-45CD-B44D-0528622BF6A2}"/>
    <cellStyle name="Normal 2" xfId="3" xr:uid="{20B600C0-125C-48E6-BA02-EBF319B76E77}"/>
    <cellStyle name="Normal 2 2" xfId="32" xr:uid="{B599579B-0728-4701-AC53-48FD931ABDB4}"/>
    <cellStyle name="Normal 2 3" xfId="34" xr:uid="{F41302E6-ACE8-4E6A-B5B7-AE6932D1B73F}"/>
    <cellStyle name="Normal 3" xfId="7" xr:uid="{40ABD6BC-C0B8-404A-905A-07CC2CC76E70}"/>
    <cellStyle name="Normal 4" xfId="8" xr:uid="{E7292780-EABA-40AF-82D3-CBA7DFD85953}"/>
    <cellStyle name="Normal 5" xfId="10" xr:uid="{0119CECF-E703-4CA5-B537-580BE59478CF}"/>
    <cellStyle name="Normal 6" xfId="13" xr:uid="{6498C535-FC18-4FB3-9E35-160111C7FC9E}"/>
    <cellStyle name="Normal 6 2" xfId="22" xr:uid="{E353C3D4-5252-4EB4-BFC8-FD3A8CA38F3C}"/>
    <cellStyle name="Normal 7" xfId="16" xr:uid="{836351B9-26B3-462E-A788-74985E36F223}"/>
    <cellStyle name="Normal 7 2" xfId="33" xr:uid="{2CB64E35-8594-47CB-8252-B79353A661F2}"/>
    <cellStyle name="Normal 8" xfId="18" xr:uid="{621D0112-EBD4-4E62-AFE2-34A6A2F8DBB0}"/>
    <cellStyle name="Normal 9" xfId="19" xr:uid="{58B6FC95-B117-41EB-B27F-89BE4D12EA4E}"/>
    <cellStyle name="Percent" xfId="1" builtinId="5"/>
    <cellStyle name="Percent 2" xfId="4" xr:uid="{4D8E9093-0E0A-4AF0-B3B0-E8E18B952F78}"/>
    <cellStyle name="Percent 2 2" xfId="28" xr:uid="{2E08981E-0499-4D11-8519-F961ECA1E3B7}"/>
    <cellStyle name="Percent 2 3" xfId="31" xr:uid="{DE497316-F553-4D16-BC30-97B5CF1A3D91}"/>
    <cellStyle name="Percent 3" xfId="12" xr:uid="{9A76210F-A7E3-483C-A802-842FADEA9916}"/>
    <cellStyle name="Percent 4" xfId="20" xr:uid="{C0A6290E-2DE2-4DD2-A6E4-55EF447B6A81}"/>
    <cellStyle name="Percent 5" xfId="27" xr:uid="{FABA9485-65D3-4328-953A-D607B159F4A1}"/>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numFmt numFmtId="195" formatCode=";;;"/>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numFmt numFmtId="195" formatCode=";;;"/>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http://www.lonestarcapgroup.com/" TargetMode="External"/></Relationships>
</file>

<file path=xl/drawings/drawing1.xml><?xml version="1.0" encoding="utf-8"?>
<xdr:wsDr xmlns:xdr="http://schemas.openxmlformats.org/drawingml/2006/spreadsheetDrawing" xmlns:a="http://schemas.openxmlformats.org/drawingml/2006/main">
  <xdr:twoCellAnchor editAs="oneCell">
    <xdr:from>
      <xdr:col>15</xdr:col>
      <xdr:colOff>571500</xdr:colOff>
      <xdr:row>0</xdr:row>
      <xdr:rowOff>57150</xdr:rowOff>
    </xdr:from>
    <xdr:to>
      <xdr:col>18</xdr:col>
      <xdr:colOff>271959</xdr:colOff>
      <xdr:row>0</xdr:row>
      <xdr:rowOff>479814</xdr:rowOff>
    </xdr:to>
    <xdr:pic>
      <xdr:nvPicPr>
        <xdr:cNvPr id="2" name="Picture 1">
          <a:extLst>
            <a:ext uri="{FF2B5EF4-FFF2-40B4-BE49-F238E27FC236}">
              <a16:creationId xmlns:a16="http://schemas.microsoft.com/office/drawing/2014/main" id="{096A8A2B-8FE9-4162-9E0F-77142496686B}"/>
            </a:ext>
          </a:extLst>
        </xdr:cNvPr>
        <xdr:cNvPicPr>
          <a:picLocks noChangeAspect="1"/>
        </xdr:cNvPicPr>
      </xdr:nvPicPr>
      <xdr:blipFill>
        <a:blip xmlns:r="http://schemas.openxmlformats.org/officeDocument/2006/relationships" r:embed="rId1"/>
        <a:stretch>
          <a:fillRect/>
        </a:stretch>
      </xdr:blipFill>
      <xdr:spPr>
        <a:xfrm>
          <a:off x="9839325" y="57150"/>
          <a:ext cx="2672259" cy="4226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107156</xdr:colOff>
      <xdr:row>14</xdr:row>
      <xdr:rowOff>150813</xdr:rowOff>
    </xdr:from>
    <xdr:to>
      <xdr:col>18</xdr:col>
      <xdr:colOff>0</xdr:colOff>
      <xdr:row>47</xdr:row>
      <xdr:rowOff>0</xdr:rowOff>
    </xdr:to>
    <xdr:sp macro="" textlink="">
      <xdr:nvSpPr>
        <xdr:cNvPr id="3" name="TextBox 2">
          <a:extLst>
            <a:ext uri="{FF2B5EF4-FFF2-40B4-BE49-F238E27FC236}">
              <a16:creationId xmlns:a16="http://schemas.microsoft.com/office/drawing/2014/main" id="{81E64B99-2AB5-8989-781D-CAA55203BD25}"/>
            </a:ext>
          </a:extLst>
        </xdr:cNvPr>
        <xdr:cNvSpPr txBox="1"/>
      </xdr:nvSpPr>
      <xdr:spPr>
        <a:xfrm>
          <a:off x="8544719" y="3357563"/>
          <a:ext cx="6306344" cy="661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aseline="0"/>
        </a:p>
        <a:p>
          <a:endParaRPr lang="en-US" sz="1100" baseline="0"/>
        </a:p>
      </xdr:txBody>
    </xdr:sp>
    <xdr:clientData/>
  </xdr:twoCellAnchor>
  <xdr:twoCellAnchor editAs="oneCell">
    <xdr:from>
      <xdr:col>8</xdr:col>
      <xdr:colOff>193146</xdr:colOff>
      <xdr:row>0</xdr:row>
      <xdr:rowOff>0</xdr:rowOff>
    </xdr:from>
    <xdr:to>
      <xdr:col>12</xdr:col>
      <xdr:colOff>152812</xdr:colOff>
      <xdr:row>1</xdr:row>
      <xdr:rowOff>5630</xdr:rowOff>
    </xdr:to>
    <xdr:pic>
      <xdr:nvPicPr>
        <xdr:cNvPr id="4" name="Picture 1">
          <a:extLst>
            <a:ext uri="{FF2B5EF4-FFF2-40B4-BE49-F238E27FC236}">
              <a16:creationId xmlns:a16="http://schemas.microsoft.com/office/drawing/2014/main" id="{0FAF369B-6117-43F1-884B-995EE2E73B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934729" y="317500"/>
          <a:ext cx="2870083" cy="5347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349250</xdr:colOff>
      <xdr:row>0</xdr:row>
      <xdr:rowOff>0</xdr:rowOff>
    </xdr:from>
    <xdr:to>
      <xdr:col>19</xdr:col>
      <xdr:colOff>858721</xdr:colOff>
      <xdr:row>1</xdr:row>
      <xdr:rowOff>26797</xdr:rowOff>
    </xdr:to>
    <xdr:pic>
      <xdr:nvPicPr>
        <xdr:cNvPr id="3" name="Picture 1">
          <a:extLst>
            <a:ext uri="{FF2B5EF4-FFF2-40B4-BE49-F238E27FC236}">
              <a16:creationId xmlns:a16="http://schemas.microsoft.com/office/drawing/2014/main" id="{654394E4-0FC5-4AF8-8D2D-9FBB5061EC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8805333" y="402167"/>
          <a:ext cx="2880137" cy="5347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43</xdr:col>
      <xdr:colOff>476251</xdr:colOff>
      <xdr:row>0</xdr:row>
      <xdr:rowOff>0</xdr:rowOff>
    </xdr:from>
    <xdr:to>
      <xdr:col>82</xdr:col>
      <xdr:colOff>124502</xdr:colOff>
      <xdr:row>0</xdr:row>
      <xdr:rowOff>538765</xdr:rowOff>
    </xdr:to>
    <xdr:pic>
      <xdr:nvPicPr>
        <xdr:cNvPr id="3" name="Picture 1">
          <a:extLst>
            <a:ext uri="{FF2B5EF4-FFF2-40B4-BE49-F238E27FC236}">
              <a16:creationId xmlns:a16="http://schemas.microsoft.com/office/drawing/2014/main" id="{0861B996-FCDD-4BD7-B245-7FA3D26203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5012532" y="0"/>
          <a:ext cx="2862939" cy="5387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666750</xdr:colOff>
      <xdr:row>0</xdr:row>
      <xdr:rowOff>0</xdr:rowOff>
    </xdr:from>
    <xdr:to>
      <xdr:col>9</xdr:col>
      <xdr:colOff>323732</xdr:colOff>
      <xdr:row>1</xdr:row>
      <xdr:rowOff>10922</xdr:rowOff>
    </xdr:to>
    <xdr:pic>
      <xdr:nvPicPr>
        <xdr:cNvPr id="3" name="Picture 1">
          <a:extLst>
            <a:ext uri="{FF2B5EF4-FFF2-40B4-BE49-F238E27FC236}">
              <a16:creationId xmlns:a16="http://schemas.microsoft.com/office/drawing/2014/main" id="{A1F14D11-04BE-45BC-9F64-0DD87A89E9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226969" y="0"/>
          <a:ext cx="2871670" cy="5347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21</xdr:col>
      <xdr:colOff>464343</xdr:colOff>
      <xdr:row>0</xdr:row>
      <xdr:rowOff>78581</xdr:rowOff>
    </xdr:from>
    <xdr:to>
      <xdr:col>24</xdr:col>
      <xdr:colOff>554003</xdr:colOff>
      <xdr:row>0</xdr:row>
      <xdr:rowOff>504420</xdr:rowOff>
    </xdr:to>
    <xdr:pic>
      <xdr:nvPicPr>
        <xdr:cNvPr id="2" name="Picture 1">
          <a:extLst>
            <a:ext uri="{FF2B5EF4-FFF2-40B4-BE49-F238E27FC236}">
              <a16:creationId xmlns:a16="http://schemas.microsoft.com/office/drawing/2014/main" id="{7EEC0947-EFD7-4FF0-A9E4-4883B2D9C3C7}"/>
            </a:ext>
          </a:extLst>
        </xdr:cNvPr>
        <xdr:cNvPicPr>
          <a:picLocks noChangeAspect="1"/>
        </xdr:cNvPicPr>
      </xdr:nvPicPr>
      <xdr:blipFill>
        <a:blip xmlns:r="http://schemas.openxmlformats.org/officeDocument/2006/relationships" r:embed="rId1"/>
        <a:stretch>
          <a:fillRect/>
        </a:stretch>
      </xdr:blipFill>
      <xdr:spPr>
        <a:xfrm>
          <a:off x="16740187" y="78581"/>
          <a:ext cx="2649504" cy="4226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71438</xdr:colOff>
      <xdr:row>22</xdr:row>
      <xdr:rowOff>71437</xdr:rowOff>
    </xdr:from>
    <xdr:to>
      <xdr:col>7</xdr:col>
      <xdr:colOff>250031</xdr:colOff>
      <xdr:row>39</xdr:row>
      <xdr:rowOff>178630</xdr:rowOff>
    </xdr:to>
    <xdr:pic>
      <xdr:nvPicPr>
        <xdr:cNvPr id="3" name="Picture 2">
          <a:extLst>
            <a:ext uri="{FF2B5EF4-FFF2-40B4-BE49-F238E27FC236}">
              <a16:creationId xmlns:a16="http://schemas.microsoft.com/office/drawing/2014/main" id="{9CE36742-6E79-F2AB-8077-E1E8D0CFE032}"/>
            </a:ext>
          </a:extLst>
        </xdr:cNvPr>
        <xdr:cNvPicPr>
          <a:picLocks noChangeAspect="1"/>
        </xdr:cNvPicPr>
      </xdr:nvPicPr>
      <xdr:blipFill>
        <a:blip xmlns:r="http://schemas.openxmlformats.org/officeDocument/2006/relationships" r:embed="rId1"/>
        <a:stretch>
          <a:fillRect/>
        </a:stretch>
      </xdr:blipFill>
      <xdr:spPr>
        <a:xfrm>
          <a:off x="988219" y="4345781"/>
          <a:ext cx="5119687" cy="3405224"/>
        </a:xfrm>
        <a:prstGeom prst="rect">
          <a:avLst/>
        </a:prstGeom>
      </xdr:spPr>
    </xdr:pic>
    <xdr:clientData/>
  </xdr:twoCellAnchor>
  <xdr:twoCellAnchor editAs="oneCell">
    <xdr:from>
      <xdr:col>2</xdr:col>
      <xdr:colOff>1</xdr:colOff>
      <xdr:row>42</xdr:row>
      <xdr:rowOff>0</xdr:rowOff>
    </xdr:from>
    <xdr:to>
      <xdr:col>7</xdr:col>
      <xdr:colOff>420279</xdr:colOff>
      <xdr:row>58</xdr:row>
      <xdr:rowOff>154781</xdr:rowOff>
    </xdr:to>
    <xdr:pic>
      <xdr:nvPicPr>
        <xdr:cNvPr id="4" name="Picture 3">
          <a:extLst>
            <a:ext uri="{FF2B5EF4-FFF2-40B4-BE49-F238E27FC236}">
              <a16:creationId xmlns:a16="http://schemas.microsoft.com/office/drawing/2014/main" id="{492E8701-84F0-272D-F64A-813BFDB4F191}"/>
            </a:ext>
          </a:extLst>
        </xdr:cNvPr>
        <xdr:cNvPicPr>
          <a:picLocks noChangeAspect="1"/>
        </xdr:cNvPicPr>
      </xdr:nvPicPr>
      <xdr:blipFill>
        <a:blip xmlns:r="http://schemas.openxmlformats.org/officeDocument/2006/relationships" r:embed="rId2"/>
        <a:stretch>
          <a:fillRect/>
        </a:stretch>
      </xdr:blipFill>
      <xdr:spPr>
        <a:xfrm>
          <a:off x="916782" y="8215313"/>
          <a:ext cx="5361372" cy="3298031"/>
        </a:xfrm>
        <a:prstGeom prst="rect">
          <a:avLst/>
        </a:prstGeom>
      </xdr:spPr>
    </xdr:pic>
    <xdr:clientData/>
  </xdr:twoCellAnchor>
  <xdr:twoCellAnchor editAs="oneCell">
    <xdr:from>
      <xdr:col>2</xdr:col>
      <xdr:colOff>0</xdr:colOff>
      <xdr:row>63</xdr:row>
      <xdr:rowOff>35719</xdr:rowOff>
    </xdr:from>
    <xdr:to>
      <xdr:col>7</xdr:col>
      <xdr:colOff>186604</xdr:colOff>
      <xdr:row>80</xdr:row>
      <xdr:rowOff>130969</xdr:rowOff>
    </xdr:to>
    <xdr:pic>
      <xdr:nvPicPr>
        <xdr:cNvPr id="5" name="Picture 4">
          <a:extLst>
            <a:ext uri="{FF2B5EF4-FFF2-40B4-BE49-F238E27FC236}">
              <a16:creationId xmlns:a16="http://schemas.microsoft.com/office/drawing/2014/main" id="{24CAFE7F-827A-5DF1-C50B-D369741EA569}"/>
            </a:ext>
          </a:extLst>
        </xdr:cNvPr>
        <xdr:cNvPicPr>
          <a:picLocks noChangeAspect="1"/>
        </xdr:cNvPicPr>
      </xdr:nvPicPr>
      <xdr:blipFill>
        <a:blip xmlns:r="http://schemas.openxmlformats.org/officeDocument/2006/relationships" r:embed="rId3"/>
        <a:stretch>
          <a:fillRect/>
        </a:stretch>
      </xdr:blipFill>
      <xdr:spPr>
        <a:xfrm>
          <a:off x="916781" y="11775282"/>
          <a:ext cx="5127698" cy="3429000"/>
        </a:xfrm>
        <a:prstGeom prst="rect">
          <a:avLst/>
        </a:prstGeom>
      </xdr:spPr>
    </xdr:pic>
    <xdr:clientData/>
  </xdr:twoCellAnchor>
  <xdr:twoCellAnchor editAs="oneCell">
    <xdr:from>
      <xdr:col>2</xdr:col>
      <xdr:colOff>23813</xdr:colOff>
      <xdr:row>90</xdr:row>
      <xdr:rowOff>130969</xdr:rowOff>
    </xdr:from>
    <xdr:to>
      <xdr:col>8</xdr:col>
      <xdr:colOff>455818</xdr:colOff>
      <xdr:row>109</xdr:row>
      <xdr:rowOff>150812</xdr:rowOff>
    </xdr:to>
    <xdr:pic>
      <xdr:nvPicPr>
        <xdr:cNvPr id="6" name="Picture 5">
          <a:extLst>
            <a:ext uri="{FF2B5EF4-FFF2-40B4-BE49-F238E27FC236}">
              <a16:creationId xmlns:a16="http://schemas.microsoft.com/office/drawing/2014/main" id="{6655DF66-AAAE-9C50-8C5E-4213F2EBDE9C}"/>
            </a:ext>
          </a:extLst>
        </xdr:cNvPr>
        <xdr:cNvPicPr>
          <a:picLocks noChangeAspect="1"/>
        </xdr:cNvPicPr>
      </xdr:nvPicPr>
      <xdr:blipFill>
        <a:blip xmlns:r="http://schemas.openxmlformats.org/officeDocument/2006/relationships" r:embed="rId4"/>
        <a:stretch>
          <a:fillRect/>
        </a:stretch>
      </xdr:blipFill>
      <xdr:spPr>
        <a:xfrm>
          <a:off x="944563" y="17069594"/>
          <a:ext cx="6242255" cy="3710781"/>
        </a:xfrm>
        <a:prstGeom prst="rect">
          <a:avLst/>
        </a:prstGeom>
      </xdr:spPr>
    </xdr:pic>
    <xdr:clientData/>
  </xdr:twoCellAnchor>
  <xdr:twoCellAnchor editAs="oneCell">
    <xdr:from>
      <xdr:col>2</xdr:col>
      <xdr:colOff>0</xdr:colOff>
      <xdr:row>115</xdr:row>
      <xdr:rowOff>178593</xdr:rowOff>
    </xdr:from>
    <xdr:to>
      <xdr:col>8</xdr:col>
      <xdr:colOff>327092</xdr:colOff>
      <xdr:row>136</xdr:row>
      <xdr:rowOff>79142</xdr:rowOff>
    </xdr:to>
    <xdr:pic>
      <xdr:nvPicPr>
        <xdr:cNvPr id="7" name="Picture 6">
          <a:extLst>
            <a:ext uri="{FF2B5EF4-FFF2-40B4-BE49-F238E27FC236}">
              <a16:creationId xmlns:a16="http://schemas.microsoft.com/office/drawing/2014/main" id="{71C0CB0A-A265-394E-E7D8-E206721F2C8C}"/>
            </a:ext>
          </a:extLst>
        </xdr:cNvPr>
        <xdr:cNvPicPr>
          <a:picLocks noChangeAspect="1"/>
        </xdr:cNvPicPr>
      </xdr:nvPicPr>
      <xdr:blipFill>
        <a:blip xmlns:r="http://schemas.openxmlformats.org/officeDocument/2006/relationships" r:embed="rId5"/>
        <a:stretch>
          <a:fillRect/>
        </a:stretch>
      </xdr:blipFill>
      <xdr:spPr>
        <a:xfrm>
          <a:off x="916781" y="22693312"/>
          <a:ext cx="6173061" cy="4020111"/>
        </a:xfrm>
        <a:prstGeom prst="rect">
          <a:avLst/>
        </a:prstGeom>
      </xdr:spPr>
    </xdr:pic>
    <xdr:clientData/>
  </xdr:twoCellAnchor>
  <xdr:twoCellAnchor editAs="oneCell">
    <xdr:from>
      <xdr:col>2</xdr:col>
      <xdr:colOff>0</xdr:colOff>
      <xdr:row>139</xdr:row>
      <xdr:rowOff>0</xdr:rowOff>
    </xdr:from>
    <xdr:to>
      <xdr:col>8</xdr:col>
      <xdr:colOff>497962</xdr:colOff>
      <xdr:row>160</xdr:row>
      <xdr:rowOff>59532</xdr:rowOff>
    </xdr:to>
    <xdr:pic>
      <xdr:nvPicPr>
        <xdr:cNvPr id="2" name="Picture 1">
          <a:extLst>
            <a:ext uri="{FF2B5EF4-FFF2-40B4-BE49-F238E27FC236}">
              <a16:creationId xmlns:a16="http://schemas.microsoft.com/office/drawing/2014/main" id="{AC94DBD5-9396-2FFE-A050-EB149AA0D535}"/>
            </a:ext>
          </a:extLst>
        </xdr:cNvPr>
        <xdr:cNvPicPr>
          <a:picLocks noChangeAspect="1"/>
        </xdr:cNvPicPr>
      </xdr:nvPicPr>
      <xdr:blipFill>
        <a:blip xmlns:r="http://schemas.openxmlformats.org/officeDocument/2006/relationships" r:embed="rId6"/>
        <a:stretch>
          <a:fillRect/>
        </a:stretch>
      </xdr:blipFill>
      <xdr:spPr>
        <a:xfrm>
          <a:off x="916781" y="27205781"/>
          <a:ext cx="6343931" cy="4167188"/>
        </a:xfrm>
        <a:prstGeom prst="rect">
          <a:avLst/>
        </a:prstGeom>
      </xdr:spPr>
    </xdr:pic>
    <xdr:clientData/>
  </xdr:twoCellAnchor>
  <xdr:twoCellAnchor editAs="oneCell">
    <xdr:from>
      <xdr:col>1</xdr:col>
      <xdr:colOff>750094</xdr:colOff>
      <xdr:row>164</xdr:row>
      <xdr:rowOff>59531</xdr:rowOff>
    </xdr:from>
    <xdr:to>
      <xdr:col>8</xdr:col>
      <xdr:colOff>425640</xdr:colOff>
      <xdr:row>185</xdr:row>
      <xdr:rowOff>47624</xdr:rowOff>
    </xdr:to>
    <xdr:pic>
      <xdr:nvPicPr>
        <xdr:cNvPr id="8" name="Picture 7">
          <a:extLst>
            <a:ext uri="{FF2B5EF4-FFF2-40B4-BE49-F238E27FC236}">
              <a16:creationId xmlns:a16="http://schemas.microsoft.com/office/drawing/2014/main" id="{B99FE3DE-E57A-098A-3C0D-0016FB805A48}"/>
            </a:ext>
          </a:extLst>
        </xdr:cNvPr>
        <xdr:cNvPicPr>
          <a:picLocks noChangeAspect="1"/>
        </xdr:cNvPicPr>
      </xdr:nvPicPr>
      <xdr:blipFill>
        <a:blip xmlns:r="http://schemas.openxmlformats.org/officeDocument/2006/relationships" r:embed="rId7"/>
        <a:stretch>
          <a:fillRect/>
        </a:stretch>
      </xdr:blipFill>
      <xdr:spPr>
        <a:xfrm>
          <a:off x="821532" y="32146875"/>
          <a:ext cx="6366858" cy="4083843"/>
        </a:xfrm>
        <a:prstGeom prst="rect">
          <a:avLst/>
        </a:prstGeom>
      </xdr:spPr>
    </xdr:pic>
    <xdr:clientData/>
  </xdr:twoCellAnchor>
  <xdr:twoCellAnchor editAs="oneCell">
    <xdr:from>
      <xdr:col>1</xdr:col>
      <xdr:colOff>821530</xdr:colOff>
      <xdr:row>187</xdr:row>
      <xdr:rowOff>119062</xdr:rowOff>
    </xdr:from>
    <xdr:to>
      <xdr:col>8</xdr:col>
      <xdr:colOff>440531</xdr:colOff>
      <xdr:row>208</xdr:row>
      <xdr:rowOff>58208</xdr:rowOff>
    </xdr:to>
    <xdr:pic>
      <xdr:nvPicPr>
        <xdr:cNvPr id="9" name="Picture 8">
          <a:extLst>
            <a:ext uri="{FF2B5EF4-FFF2-40B4-BE49-F238E27FC236}">
              <a16:creationId xmlns:a16="http://schemas.microsoft.com/office/drawing/2014/main" id="{94555B76-A41B-560F-28F5-5B52D433A427}"/>
            </a:ext>
          </a:extLst>
        </xdr:cNvPr>
        <xdr:cNvPicPr>
          <a:picLocks noChangeAspect="1"/>
        </xdr:cNvPicPr>
      </xdr:nvPicPr>
      <xdr:blipFill>
        <a:blip xmlns:r="http://schemas.openxmlformats.org/officeDocument/2006/relationships" r:embed="rId8"/>
        <a:stretch>
          <a:fillRect/>
        </a:stretch>
      </xdr:blipFill>
      <xdr:spPr>
        <a:xfrm>
          <a:off x="892968" y="36695062"/>
          <a:ext cx="6310313" cy="4034896"/>
        </a:xfrm>
        <a:prstGeom prst="rect">
          <a:avLst/>
        </a:prstGeom>
      </xdr:spPr>
    </xdr:pic>
    <xdr:clientData/>
  </xdr:twoCellAnchor>
  <xdr:twoCellAnchor editAs="oneCell">
    <xdr:from>
      <xdr:col>1</xdr:col>
      <xdr:colOff>809625</xdr:colOff>
      <xdr:row>210</xdr:row>
      <xdr:rowOff>166689</xdr:rowOff>
    </xdr:from>
    <xdr:to>
      <xdr:col>7</xdr:col>
      <xdr:colOff>797719</xdr:colOff>
      <xdr:row>229</xdr:row>
      <xdr:rowOff>137985</xdr:rowOff>
    </xdr:to>
    <xdr:pic>
      <xdr:nvPicPr>
        <xdr:cNvPr id="10" name="Picture 9">
          <a:extLst>
            <a:ext uri="{FF2B5EF4-FFF2-40B4-BE49-F238E27FC236}">
              <a16:creationId xmlns:a16="http://schemas.microsoft.com/office/drawing/2014/main" id="{D20DF67A-867D-EB40-0A91-F0CFC0BD285E}"/>
            </a:ext>
          </a:extLst>
        </xdr:cNvPr>
        <xdr:cNvPicPr>
          <a:picLocks noChangeAspect="1"/>
        </xdr:cNvPicPr>
      </xdr:nvPicPr>
      <xdr:blipFill>
        <a:blip xmlns:r="http://schemas.openxmlformats.org/officeDocument/2006/relationships" r:embed="rId9"/>
        <a:stretch>
          <a:fillRect/>
        </a:stretch>
      </xdr:blipFill>
      <xdr:spPr>
        <a:xfrm>
          <a:off x="881063" y="40850345"/>
          <a:ext cx="5774531" cy="3876546"/>
        </a:xfrm>
        <a:prstGeom prst="rect">
          <a:avLst/>
        </a:prstGeom>
      </xdr:spPr>
    </xdr:pic>
    <xdr:clientData/>
  </xdr:twoCellAnchor>
  <xdr:twoCellAnchor editAs="oneCell">
    <xdr:from>
      <xdr:col>2</xdr:col>
      <xdr:colOff>35719</xdr:colOff>
      <xdr:row>235</xdr:row>
      <xdr:rowOff>11906</xdr:rowOff>
    </xdr:from>
    <xdr:to>
      <xdr:col>7</xdr:col>
      <xdr:colOff>568408</xdr:colOff>
      <xdr:row>252</xdr:row>
      <xdr:rowOff>95250</xdr:rowOff>
    </xdr:to>
    <xdr:pic>
      <xdr:nvPicPr>
        <xdr:cNvPr id="11" name="Picture 10">
          <a:extLst>
            <a:ext uri="{FF2B5EF4-FFF2-40B4-BE49-F238E27FC236}">
              <a16:creationId xmlns:a16="http://schemas.microsoft.com/office/drawing/2014/main" id="{4C62F4DB-0301-E180-205E-CEF94518E2C2}"/>
            </a:ext>
          </a:extLst>
        </xdr:cNvPr>
        <xdr:cNvPicPr>
          <a:picLocks noChangeAspect="1"/>
        </xdr:cNvPicPr>
      </xdr:nvPicPr>
      <xdr:blipFill>
        <a:blip xmlns:r="http://schemas.openxmlformats.org/officeDocument/2006/relationships" r:embed="rId10"/>
        <a:stretch>
          <a:fillRect/>
        </a:stretch>
      </xdr:blipFill>
      <xdr:spPr>
        <a:xfrm>
          <a:off x="952500" y="45565219"/>
          <a:ext cx="5473783" cy="3571875"/>
        </a:xfrm>
        <a:prstGeom prst="rect">
          <a:avLst/>
        </a:prstGeom>
      </xdr:spPr>
    </xdr:pic>
    <xdr:clientData/>
  </xdr:twoCellAnchor>
  <xdr:twoCellAnchor editAs="oneCell">
    <xdr:from>
      <xdr:col>2</xdr:col>
      <xdr:colOff>0</xdr:colOff>
      <xdr:row>258</xdr:row>
      <xdr:rowOff>1</xdr:rowOff>
    </xdr:from>
    <xdr:to>
      <xdr:col>8</xdr:col>
      <xdr:colOff>154781</xdr:colOff>
      <xdr:row>278</xdr:row>
      <xdr:rowOff>98361</xdr:rowOff>
    </xdr:to>
    <xdr:pic>
      <xdr:nvPicPr>
        <xdr:cNvPr id="12" name="Picture 11">
          <a:extLst>
            <a:ext uri="{FF2B5EF4-FFF2-40B4-BE49-F238E27FC236}">
              <a16:creationId xmlns:a16="http://schemas.microsoft.com/office/drawing/2014/main" id="{C28579A0-4C0B-8FF7-7405-5F6FD3062B8F}"/>
            </a:ext>
          </a:extLst>
        </xdr:cNvPr>
        <xdr:cNvPicPr>
          <a:picLocks noChangeAspect="1"/>
        </xdr:cNvPicPr>
      </xdr:nvPicPr>
      <xdr:blipFill>
        <a:blip xmlns:r="http://schemas.openxmlformats.org/officeDocument/2006/relationships" r:embed="rId11"/>
        <a:stretch>
          <a:fillRect/>
        </a:stretch>
      </xdr:blipFill>
      <xdr:spPr>
        <a:xfrm>
          <a:off x="916781" y="50184845"/>
          <a:ext cx="6000750" cy="4003610"/>
        </a:xfrm>
        <a:prstGeom prst="rect">
          <a:avLst/>
        </a:prstGeom>
      </xdr:spPr>
    </xdr:pic>
    <xdr:clientData/>
  </xdr:twoCellAnchor>
  <xdr:twoCellAnchor editAs="oneCell">
    <xdr:from>
      <xdr:col>22</xdr:col>
      <xdr:colOff>0</xdr:colOff>
      <xdr:row>21</xdr:row>
      <xdr:rowOff>-1</xdr:rowOff>
    </xdr:from>
    <xdr:to>
      <xdr:col>29</xdr:col>
      <xdr:colOff>714375</xdr:colOff>
      <xdr:row>45</xdr:row>
      <xdr:rowOff>86032</xdr:rowOff>
    </xdr:to>
    <xdr:pic>
      <xdr:nvPicPr>
        <xdr:cNvPr id="17" name="Picture 16">
          <a:extLst>
            <a:ext uri="{FF2B5EF4-FFF2-40B4-BE49-F238E27FC236}">
              <a16:creationId xmlns:a16="http://schemas.microsoft.com/office/drawing/2014/main" id="{AF70CD51-76E6-BDA5-CD06-DF4CF0B91B1C}"/>
            </a:ext>
          </a:extLst>
        </xdr:cNvPr>
        <xdr:cNvPicPr>
          <a:picLocks noChangeAspect="1"/>
        </xdr:cNvPicPr>
      </xdr:nvPicPr>
      <xdr:blipFill>
        <a:blip xmlns:r="http://schemas.openxmlformats.org/officeDocument/2006/relationships" r:embed="rId12"/>
        <a:stretch>
          <a:fillRect/>
        </a:stretch>
      </xdr:blipFill>
      <xdr:spPr>
        <a:xfrm>
          <a:off x="23479125" y="4071937"/>
          <a:ext cx="5607844" cy="48842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63360</xdr:colOff>
      <xdr:row>2</xdr:row>
      <xdr:rowOff>57727</xdr:rowOff>
    </xdr:from>
    <xdr:to>
      <xdr:col>12</xdr:col>
      <xdr:colOff>371480</xdr:colOff>
      <xdr:row>4</xdr:row>
      <xdr:rowOff>38498</xdr:rowOff>
    </xdr:to>
    <xdr:pic>
      <xdr:nvPicPr>
        <xdr:cNvPr id="3" name="Picture 1">
          <a:hlinkClick xmlns:r="http://schemas.openxmlformats.org/officeDocument/2006/relationships" r:id="rId1"/>
          <a:extLst>
            <a:ext uri="{FF2B5EF4-FFF2-40B4-BE49-F238E27FC236}">
              <a16:creationId xmlns:a16="http://schemas.microsoft.com/office/drawing/2014/main" id="{B5EC4716-5066-7F4B-9E09-2E0FB4BB61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627451" y="611909"/>
          <a:ext cx="3367665" cy="4310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Desktop\Stoney%20Creek\FINAL%20BUDGET\Stoney%20Creek%20-%20PF%2010%209%202023.xlsm" TargetMode="External"/><Relationship Id="rId1" Type="http://schemas.openxmlformats.org/officeDocument/2006/relationships/externalLinkPath" Target="/Users/User/Desktop/Stoney%20Creek/FINAL%20BUDGET/Stoney%20Creek%20-%20PF%2010%209%202023.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User\Downloads\NYMT%20-%20OA%20Exhibits%20-%20Stoney%20Creek%20(Edit)%20(1).xlsm" TargetMode="External"/><Relationship Id="rId1" Type="http://schemas.openxmlformats.org/officeDocument/2006/relationships/externalLinkPath" Target="/Users/User/Downloads/NYMT%20-%20OA%20Exhibits%20-%20Stoney%20Creek%20(Edit)%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nabler4Excel_Picklist_Values"/>
      <sheetName val="Summary"/>
      <sheetName val="Annual CF"/>
      <sheetName val="Sheet1"/>
      <sheetName val="Reforecast"/>
      <sheetName val="Current vs Takeover"/>
      <sheetName val="Sources &amp; Uses"/>
      <sheetName val="Monthly CF"/>
      <sheetName val="Partnership Returns (Option 1)"/>
      <sheetName val="Option 1"/>
      <sheetName val="Partnership Returns (Option 2)"/>
      <sheetName val="Option 2"/>
      <sheetName val="Investor Stress Test"/>
      <sheetName val="Financing"/>
      <sheetName val="Closing Costs"/>
      <sheetName val="Comps"/>
      <sheetName val="Revenue Projections"/>
      <sheetName val="Revenue"/>
      <sheetName val="CF Comparison"/>
      <sheetName val="Tax &amp; Management"/>
      <sheetName val="Capex"/>
      <sheetName val="Payroll Breakout"/>
      <sheetName val="Master Summary Hisoricals"/>
      <sheetName val="T12"/>
      <sheetName val="Aged Receivables"/>
      <sheetName val="Renewals"/>
      <sheetName val="Renewal Schedule"/>
      <sheetName val="Expiration Schedule"/>
      <sheetName val="RR March 2023"/>
      <sheetName val="RR March 23"/>
    </sheetNames>
    <sheetDataSet>
      <sheetData sheetId="0" refreshError="1"/>
      <sheetData sheetId="1" refreshError="1">
        <row r="3">
          <cell r="E3">
            <v>30357000</v>
          </cell>
        </row>
        <row r="4">
          <cell r="E4">
            <v>0.64998715313463518</v>
          </cell>
        </row>
        <row r="7">
          <cell r="E7">
            <v>5.8500000000000003E-2</v>
          </cell>
        </row>
        <row r="11">
          <cell r="E11">
            <v>84</v>
          </cell>
        </row>
        <row r="15">
          <cell r="E15" t="str">
            <v>No Refi</v>
          </cell>
        </row>
        <row r="20">
          <cell r="E20">
            <v>0.75</v>
          </cell>
        </row>
        <row r="21">
          <cell r="E21" t="str">
            <v/>
          </cell>
        </row>
        <row r="24">
          <cell r="E24">
            <v>5.3500000000000006E-2</v>
          </cell>
        </row>
        <row r="25">
          <cell r="E25">
            <v>0</v>
          </cell>
        </row>
        <row r="26">
          <cell r="E26">
            <v>5.0000000000000001E-3</v>
          </cell>
        </row>
        <row r="27">
          <cell r="E27">
            <v>360</v>
          </cell>
        </row>
        <row r="31">
          <cell r="E31">
            <v>0</v>
          </cell>
        </row>
        <row r="32">
          <cell r="K32">
            <v>84</v>
          </cell>
        </row>
        <row r="33">
          <cell r="E33">
            <v>0.08</v>
          </cell>
        </row>
        <row r="34">
          <cell r="E34">
            <v>0</v>
          </cell>
        </row>
        <row r="35">
          <cell r="B35">
            <v>46704000</v>
          </cell>
          <cell r="E35">
            <v>120</v>
          </cell>
        </row>
        <row r="39">
          <cell r="E39">
            <v>9500000</v>
          </cell>
        </row>
        <row r="40">
          <cell r="E40">
            <v>0.08</v>
          </cell>
        </row>
        <row r="43">
          <cell r="E43">
            <v>0</v>
          </cell>
        </row>
        <row r="44">
          <cell r="E44">
            <v>48</v>
          </cell>
        </row>
        <row r="45">
          <cell r="E45">
            <v>0.15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5">
          <cell r="C15">
            <v>0.03</v>
          </cell>
        </row>
        <row r="18">
          <cell r="C18">
            <v>4.2500000000000003E-2</v>
          </cell>
        </row>
        <row r="23">
          <cell r="C23">
            <v>1.6E-2</v>
          </cell>
        </row>
        <row r="25">
          <cell r="C25">
            <v>0.75</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ng Budget"/>
      <sheetName val="Capex"/>
      <sheetName val="Payroll Breakout"/>
    </sheetNames>
    <sheetDataSet>
      <sheetData sheetId="0" refreshError="1"/>
      <sheetData sheetId="1">
        <row r="2">
          <cell r="L2">
            <v>2</v>
          </cell>
          <cell r="M2" t="str">
            <v>Company</v>
          </cell>
          <cell r="U2" t="e">
            <v>#NAME?</v>
          </cell>
          <cell r="AC2" t="e">
            <v>#NAME?</v>
          </cell>
        </row>
        <row r="3">
          <cell r="L3">
            <v>3</v>
          </cell>
          <cell r="M3" t="str">
            <v>Company Total</v>
          </cell>
          <cell r="N3">
            <v>1069040</v>
          </cell>
          <cell r="AK3">
            <v>4</v>
          </cell>
          <cell r="AL3" t="str">
            <v>Unit</v>
          </cell>
          <cell r="AS3">
            <v>4</v>
          </cell>
          <cell r="AT3" t="str">
            <v>Common</v>
          </cell>
          <cell r="BA3">
            <v>4</v>
          </cell>
          <cell r="BB3" t="str">
            <v>Deferred</v>
          </cell>
          <cell r="BI3">
            <v>4</v>
          </cell>
          <cell r="BJ3" t="str">
            <v>Unit</v>
          </cell>
          <cell r="BQ3">
            <v>4</v>
          </cell>
          <cell r="BR3" t="str">
            <v>Common</v>
          </cell>
          <cell r="BY3">
            <v>4</v>
          </cell>
          <cell r="BZ3" t="str">
            <v>Deferred</v>
          </cell>
        </row>
        <row r="4">
          <cell r="AL4" t="str">
            <v>LineItem</v>
          </cell>
          <cell r="AT4" t="str">
            <v>LineItem</v>
          </cell>
          <cell r="BB4" t="str">
            <v>LineItem</v>
          </cell>
          <cell r="BJ4" t="str">
            <v>LineItem</v>
          </cell>
          <cell r="BR4" t="str">
            <v>LineItem</v>
          </cell>
          <cell r="BZ4" t="str">
            <v>LineItem</v>
          </cell>
        </row>
        <row r="5">
          <cell r="AL5" t="str">
            <v>Interior Appliance Upgrade (SS Only Units)</v>
          </cell>
          <cell r="AT5" t="str">
            <v>Stain Balconies</v>
          </cell>
          <cell r="BB5" t="str">
            <v>Stairs and Handrails</v>
          </cell>
        </row>
        <row r="6">
          <cell r="AL6" t="str">
            <v>Interior paint</v>
          </cell>
          <cell r="AT6" t="str">
            <v>Signage</v>
          </cell>
          <cell r="BB6" t="str">
            <v xml:space="preserve">          Deferred Subtotal</v>
          </cell>
          <cell r="BJ6" t="str">
            <v xml:space="preserve">          Unit Subtotal</v>
          </cell>
          <cell r="BR6" t="str">
            <v xml:space="preserve">          Common Subtotal</v>
          </cell>
          <cell r="BZ6" t="str">
            <v xml:space="preserve">          Deferred Subtotal</v>
          </cell>
        </row>
        <row r="7">
          <cell r="L7">
            <v>2</v>
          </cell>
          <cell r="M7" t="str">
            <v>Lender</v>
          </cell>
          <cell r="AL7" t="str">
            <v>Gooseneck faucet in kitchen</v>
          </cell>
          <cell r="AT7" t="str">
            <v>Carports</v>
          </cell>
        </row>
        <row r="8">
          <cell r="L8">
            <v>3</v>
          </cell>
          <cell r="M8" t="str">
            <v>Lender Total</v>
          </cell>
          <cell r="N8">
            <v>0</v>
          </cell>
          <cell r="AL8" t="str">
            <v>Backsplash in kitchen</v>
          </cell>
          <cell r="AT8" t="str">
            <v>Lighting</v>
          </cell>
        </row>
        <row r="9">
          <cell r="AL9" t="str">
            <v>Paint kitchen and bathroom cabinets</v>
          </cell>
          <cell r="AT9" t="str">
            <v>Leasing Office - Flooring</v>
          </cell>
        </row>
        <row r="10">
          <cell r="AL10" t="str">
            <v>Hardware for kitchen and bathroom cabinets</v>
          </cell>
          <cell r="AT10" t="str">
            <v>Leasing Office - Paint</v>
          </cell>
        </row>
        <row r="11">
          <cell r="AL11" t="str">
            <v xml:space="preserve">Stainless steel appliances </v>
          </cell>
          <cell r="AT11" t="str">
            <v>Leasing Office - Mural</v>
          </cell>
        </row>
        <row r="12">
          <cell r="AL12" t="str">
            <v>New bathroom vanity light</v>
          </cell>
          <cell r="AT12" t="str">
            <v>Leasing Office - Furniture</v>
          </cell>
        </row>
        <row r="13">
          <cell r="AL13" t="str">
            <v>New Flooring</v>
          </cell>
          <cell r="AT13" t="str">
            <v>Pool Furniture</v>
          </cell>
        </row>
        <row r="14">
          <cell r="AL14" t="str">
            <v xml:space="preserve">          Unit Subtotal</v>
          </cell>
          <cell r="AT14" t="str">
            <v>Pickle Ball Court</v>
          </cell>
        </row>
        <row r="15">
          <cell r="A15" t="e">
            <v>#REF!</v>
          </cell>
          <cell r="AT15" t="str">
            <v>Dog Park</v>
          </cell>
        </row>
        <row r="16">
          <cell r="AT16" t="str">
            <v xml:space="preserve">          Common Subtotal</v>
          </cell>
        </row>
      </sheetData>
      <sheetData sheetId="2"/>
    </sheetDataSet>
  </externalBook>
</externalLink>
</file>

<file path=xl/persons/person.xml><?xml version="1.0" encoding="utf-8"?>
<personList xmlns="http://schemas.microsoft.com/office/spreadsheetml/2018/threadedcomments" xmlns:x="http://schemas.openxmlformats.org/spreadsheetml/2006/main">
  <person displayName="Terrance Wise" id="{1830A392-D3F5-4C07-8CD0-798CEA9F3894}" userId="S::terrancewise@aspenfunds.us::b3c1fd98-28f6-4b36-a759-024198bc3f2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E42" dT="2023-08-22T18:50:01.61" personId="{1830A392-D3F5-4C07-8CD0-798CEA9F3894}" id="{04CA1B14-75E8-485B-955A-D836F01A830C}">
    <text>Based on Amortizing Debt service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8" Type="http://schemas.openxmlformats.org/officeDocument/2006/relationships/hyperlink" Target="https://www.apartments.com/ranch-at-prairie-trace-overland-park-ks/lwmt1ed/" TargetMode="External"/><Relationship Id="rId13" Type="http://schemas.openxmlformats.org/officeDocument/2006/relationships/drawing" Target="../drawings/drawing7.xml"/><Relationship Id="rId3" Type="http://schemas.openxmlformats.org/officeDocument/2006/relationships/hyperlink" Target="https://www.apartments.com/jefferson-pointe-overland-park-ks/ssrnmc7/" TargetMode="External"/><Relationship Id="rId7" Type="http://schemas.openxmlformats.org/officeDocument/2006/relationships/hyperlink" Target="https://www.apartments.com/village-at-lionsgate-overland-park-ks/2d3zm0c/" TargetMode="External"/><Relationship Id="rId12" Type="http://schemas.openxmlformats.org/officeDocument/2006/relationships/printerSettings" Target="../printerSettings/printerSettings8.bin"/><Relationship Id="rId2" Type="http://schemas.openxmlformats.org/officeDocument/2006/relationships/hyperlink" Target="https://www.apartments.com/pointe-royal-overland-park-ks/bg3n4n9/" TargetMode="External"/><Relationship Id="rId1" Type="http://schemas.openxmlformats.org/officeDocument/2006/relationships/hyperlink" Target="https://www.apartments.com/bradford-pointe-overland-park-ks/vk1hf8e/" TargetMode="External"/><Relationship Id="rId6" Type="http://schemas.openxmlformats.org/officeDocument/2006/relationships/hyperlink" Target="https://www.apartments.com/corbin-crossing-overland-park-ks/phpkmgt/" TargetMode="External"/><Relationship Id="rId11" Type="http://schemas.openxmlformats.org/officeDocument/2006/relationships/hyperlink" Target="https://www.apartments.com/hunters-pointe-overland-park-ks/jv7q4h4/" TargetMode="External"/><Relationship Id="rId5" Type="http://schemas.openxmlformats.org/officeDocument/2006/relationships/hyperlink" Target="https://www.apartments.com/savoy-apartments-overland-park-ks/p3sdllr/" TargetMode="External"/><Relationship Id="rId10" Type="http://schemas.openxmlformats.org/officeDocument/2006/relationships/hyperlink" Target="https://www.apartments.com/weston-point-apartments-overland-park-ks/s8y86e7/" TargetMode="External"/><Relationship Id="rId4" Type="http://schemas.openxmlformats.org/officeDocument/2006/relationships/hyperlink" Target="https://www.apartments.com/sandstone-creek-overland-park-ks/5he92zp/" TargetMode="External"/><Relationship Id="rId9" Type="http://schemas.openxmlformats.org/officeDocument/2006/relationships/hyperlink" Target="https://www.apartments.com/corbin-greens-apartments-overland-park-ks/ljs3t0e/"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D5C19-9713-6948-9D13-45EAF93A2526}">
  <sheetPr codeName="Sheet2">
    <tabColor theme="3"/>
  </sheetPr>
  <dimension ref="B1:V73"/>
  <sheetViews>
    <sheetView workbookViewId="0"/>
  </sheetViews>
  <sheetFormatPr defaultColWidth="10.875" defaultRowHeight="15.75"/>
  <cols>
    <col min="1" max="2" width="2.5" customWidth="1"/>
    <col min="3" max="4" width="11.625" customWidth="1"/>
    <col min="5" max="5" width="12.5" customWidth="1"/>
    <col min="6" max="7" width="2.5" customWidth="1"/>
    <col min="8" max="9" width="11.625" customWidth="1"/>
    <col min="10" max="10" width="12.5" customWidth="1"/>
    <col min="11" max="11" width="1.625" customWidth="1"/>
    <col min="12" max="12" width="2.5" customWidth="1"/>
    <col min="13" max="13" width="10" customWidth="1"/>
    <col min="14" max="19" width="13" customWidth="1"/>
    <col min="20" max="20" width="2.5" customWidth="1"/>
  </cols>
  <sheetData>
    <row r="1" spans="2:22" ht="42.75" customHeight="1" thickBot="1">
      <c r="B1" s="94" t="str">
        <f>'Inputs &amp; Assumptions'!D4&amp;" – Investment Summary"</f>
        <v>Madison Overland Park – Investment Summary</v>
      </c>
      <c r="C1" s="95"/>
      <c r="D1" s="95"/>
      <c r="E1" s="95"/>
      <c r="F1" s="95"/>
      <c r="G1" s="95"/>
      <c r="H1" s="95"/>
      <c r="I1" s="95"/>
      <c r="J1" s="95"/>
      <c r="K1" s="95"/>
      <c r="L1" s="95"/>
      <c r="M1" s="95"/>
      <c r="N1" s="95"/>
      <c r="O1" s="95"/>
      <c r="P1" s="95"/>
      <c r="Q1" s="95"/>
      <c r="R1" s="95"/>
      <c r="S1" s="95"/>
      <c r="T1" s="95"/>
    </row>
    <row r="3" spans="2:22" ht="18.75">
      <c r="U3" s="25"/>
      <c r="V3" s="25"/>
    </row>
    <row r="9" spans="2:22">
      <c r="T9" s="205"/>
    </row>
    <row r="10" spans="2:22">
      <c r="T10" s="205"/>
    </row>
    <row r="11" spans="2:22" ht="15.95" customHeight="1"/>
    <row r="12" spans="2:22" ht="15.95" customHeight="1"/>
    <row r="16" spans="2:22" ht="15.95" customHeight="1"/>
    <row r="19" spans="20:20" ht="15.95" customHeight="1"/>
    <row r="20" spans="20:20" ht="18.95" customHeight="1">
      <c r="T20" s="25"/>
    </row>
    <row r="21" spans="20:20" ht="15.95" customHeight="1"/>
    <row r="22" spans="20:20" ht="15.95" customHeight="1"/>
    <row r="23" spans="20:20" ht="15.95" customHeight="1"/>
    <row r="26" spans="20:20" ht="15.95" customHeight="1"/>
    <row r="27" spans="20:20" hidden="1"/>
    <row r="28" spans="20:20" hidden="1"/>
    <row r="29" spans="20:20" hidden="1"/>
    <row r="30" spans="20:20" hidden="1"/>
    <row r="31" spans="20:20" hidden="1"/>
    <row r="32" spans="20:20" hidden="1"/>
    <row r="33" spans="2:20" hidden="1"/>
    <row r="34" spans="2:20" hidden="1"/>
    <row r="35" spans="2:20" hidden="1"/>
    <row r="36" spans="2:20" hidden="1"/>
    <row r="37" spans="2:20" hidden="1"/>
    <row r="38" spans="2:20" hidden="1"/>
    <row r="41" spans="2:20">
      <c r="B41" s="6"/>
      <c r="C41" s="6"/>
      <c r="D41" s="107"/>
    </row>
    <row r="42" spans="2:20">
      <c r="B42" s="6"/>
      <c r="C42" s="6"/>
    </row>
    <row r="43" spans="2:20">
      <c r="B43" s="6"/>
      <c r="C43" s="6"/>
    </row>
    <row r="44" spans="2:20">
      <c r="B44" s="6"/>
      <c r="C44" s="6"/>
    </row>
    <row r="45" spans="2:20">
      <c r="B45" s="6"/>
      <c r="C45" s="6"/>
    </row>
    <row r="46" spans="2:20">
      <c r="C46" s="6"/>
      <c r="T46" s="298"/>
    </row>
    <row r="47" spans="2:20">
      <c r="B47" s="6"/>
      <c r="C47" s="6"/>
    </row>
    <row r="48" spans="2:20">
      <c r="B48" s="6"/>
      <c r="C48" s="6"/>
    </row>
    <row r="49" spans="2:9">
      <c r="B49" s="6"/>
      <c r="C49" s="6"/>
    </row>
    <row r="50" spans="2:9">
      <c r="B50" s="6"/>
      <c r="C50" s="6"/>
    </row>
    <row r="51" spans="2:9">
      <c r="B51" s="6"/>
      <c r="C51" s="6"/>
    </row>
    <row r="52" spans="2:9" ht="18.75">
      <c r="B52" s="6"/>
      <c r="C52" s="6"/>
      <c r="I52" s="25"/>
    </row>
    <row r="53" spans="2:9">
      <c r="I53" s="297"/>
    </row>
    <row r="54" spans="2:9">
      <c r="I54" s="12"/>
    </row>
    <row r="62" spans="2:9" ht="18.75">
      <c r="E62" s="25"/>
      <c r="F62" s="25"/>
      <c r="I62" s="21"/>
    </row>
    <row r="63" spans="2:9">
      <c r="I63" s="11"/>
    </row>
    <row r="64" spans="2:9">
      <c r="I64" s="11"/>
    </row>
    <row r="65" spans="5:10">
      <c r="I65" s="52"/>
    </row>
    <row r="66" spans="5:10">
      <c r="I66" s="12"/>
    </row>
    <row r="67" spans="5:10">
      <c r="I67" s="12"/>
    </row>
    <row r="68" spans="5:10">
      <c r="I68" s="12"/>
    </row>
    <row r="69" spans="5:10">
      <c r="E69" s="50"/>
      <c r="F69" s="50"/>
      <c r="G69" s="50"/>
      <c r="H69" s="51"/>
      <c r="I69" s="51"/>
    </row>
    <row r="70" spans="5:10">
      <c r="I70" s="12"/>
      <c r="J70" s="22"/>
    </row>
    <row r="71" spans="5:10">
      <c r="I71" s="12"/>
    </row>
    <row r="72" spans="5:10">
      <c r="I72" s="12"/>
    </row>
    <row r="73" spans="5:10">
      <c r="I73" s="24"/>
    </row>
  </sheetData>
  <sheetProtection autoFilter="0"/>
  <pageMargins left="0.7" right="0.7" top="0.75" bottom="0.75" header="0.3" footer="0.3"/>
  <pageSetup orientation="portrait" horizontalDpi="1200" verticalDpi="1200" r:id="rId1"/>
  <cellWatches>
    <cellWatch r="F69"/>
    <cellWatch r="J2"/>
    <cellWatch r="F68"/>
    <cellWatch r="F62"/>
    <cellWatch r="E68"/>
    <cellWatch r="E69"/>
    <cellWatch r="F70"/>
    <cellWatch r="F116"/>
    <cellWatch r="F117"/>
    <cellWatch r="F124"/>
    <cellWatch r="F123"/>
    <cellWatch r="F125"/>
    <cellWatch r="F115"/>
    <cellWatch r="J115"/>
    <cellWatch r="F120"/>
    <cellWatch r="F119"/>
    <cellWatch r="F118"/>
    <cellWatch r="F132"/>
    <cellWatch r="F131"/>
    <cellWatch r="F140"/>
    <cellWatch r="F139"/>
    <cellWatch r="N117"/>
    <cellWatch r="N120"/>
    <cellWatch r="F121"/>
    <cellWatch r="F128"/>
    <cellWatch r="F127"/>
    <cellWatch r="F136"/>
    <cellWatch r="F135"/>
    <cellWatch r="J116"/>
    <cellWatch r="F122"/>
    <cellWatch r="F130"/>
    <cellWatch r="F138"/>
    <cellWatch r="F133"/>
    <cellWatch r="F141"/>
    <cellWatch r="F129"/>
    <cellWatch r="F137"/>
    <cellWatch r="H116"/>
    <cellWatch r="H119"/>
    <cellWatch r="H124"/>
    <cellWatch r="H123"/>
    <cellWatch r="L115"/>
    <cellWatch r="H122"/>
    <cellWatch r="H121"/>
    <cellWatch r="H120"/>
    <cellWatch r="H130"/>
    <cellWatch r="H129"/>
    <cellWatch r="H138"/>
    <cellWatch r="H137"/>
    <cellWatch r="H128"/>
    <cellWatch r="R45"/>
    <cellWatch r="F67"/>
    <cellWatch r="S45"/>
    <cellWatch r="F75"/>
    <cellWatch r="F76"/>
    <cellWatch r="T45"/>
    <cellWatch r="T14"/>
    <cellWatch r="T15"/>
    <cellWatch r="T13"/>
    <cellWatch r="T17"/>
    <cellWatch r="L2"/>
    <cellWatch r="T16"/>
    <cellWatch r="T46"/>
    <cellWatch r="Q42"/>
    <cellWatch r="E64"/>
    <cellWatch r="P42"/>
    <cellWatch r="E65"/>
    <cellWatch r="H2"/>
    <cellWatch r="Q43"/>
    <cellWatch r="P43"/>
    <cellWatch r="E66"/>
    <cellWatch r="D64"/>
    <cellWatch r="O42"/>
    <cellWatch r="D65"/>
    <cellWatch r="E112"/>
    <cellWatch r="E113"/>
    <cellWatch r="E120"/>
    <cellWatch r="E119"/>
    <cellWatch r="E121"/>
    <cellWatch r="E111"/>
    <cellWatch r="H111"/>
    <cellWatch r="E116"/>
    <cellWatch r="E115"/>
    <cellWatch r="E114"/>
    <cellWatch r="E128"/>
    <cellWatch r="E127"/>
    <cellWatch r="E136"/>
    <cellWatch r="E135"/>
    <cellWatch r="L113"/>
    <cellWatch r="L116"/>
    <cellWatch r="E117"/>
    <cellWatch r="E124"/>
    <cellWatch r="E123"/>
    <cellWatch r="E132"/>
    <cellWatch r="E131"/>
    <cellWatch r="H112"/>
    <cellWatch r="E118"/>
    <cellWatch r="E126"/>
    <cellWatch r="E134"/>
    <cellWatch r="E129"/>
    <cellWatch r="E137"/>
    <cellWatch r="E125"/>
    <cellWatch r="E133"/>
    <cellWatch r="G112"/>
    <cellWatch r="G115"/>
    <cellWatch r="G120"/>
    <cellWatch r="G119"/>
    <cellWatch r="J111"/>
    <cellWatch r="G118"/>
    <cellWatch r="G117"/>
    <cellWatch r="G116"/>
    <cellWatch r="G126"/>
    <cellWatch r="G125"/>
    <cellWatch r="G134"/>
    <cellWatch r="G133"/>
    <cellWatch r="G124"/>
    <cellWatch r="T56"/>
    <cellWatch r="G77"/>
    <cellWatch r="G78"/>
    <cellWatch r="T50"/>
    <cellWatch r="G71"/>
    <cellWatch r="F77"/>
    <cellWatch r="F78"/>
    <cellWatch r="G41"/>
    <cellWatch r="T57"/>
    <cellWatch r="G79"/>
    <cellWatch r="G132"/>
    <cellWatch r="K124"/>
    <cellWatch r="G129"/>
    <cellWatch r="G128"/>
    <cellWatch r="G127"/>
    <cellWatch r="G141"/>
    <cellWatch r="G140"/>
    <cellWatch r="G149"/>
    <cellWatch r="G148"/>
    <cellWatch r="O126"/>
    <cellWatch r="O129"/>
    <cellWatch r="G130"/>
    <cellWatch r="G137"/>
    <cellWatch r="G136"/>
    <cellWatch r="G145"/>
    <cellWatch r="G144"/>
    <cellWatch r="K125"/>
    <cellWatch r="G131"/>
    <cellWatch r="G139"/>
    <cellWatch r="G147"/>
    <cellWatch r="G142"/>
    <cellWatch r="G150"/>
    <cellWatch r="G138"/>
    <cellWatch r="G146"/>
    <cellWatch r="I125"/>
    <cellWatch r="I128"/>
    <cellWatch r="I133"/>
    <cellWatch r="I132"/>
    <cellWatch r="M124"/>
    <cellWatch r="I131"/>
    <cellWatch r="I130"/>
    <cellWatch r="I129"/>
    <cellWatch r="I139"/>
    <cellWatch r="I138"/>
    <cellWatch r="I147"/>
    <cellWatch r="I146"/>
    <cellWatch r="I137"/>
    <cellWatch r="G76"/>
    <cellWatch r="T55"/>
    <cellWatch r="G42"/>
    <cellWatch r="I42"/>
    <cellWatch r="I41"/>
    <cellWatch r="G43"/>
    <cellWatch r="G84"/>
    <cellWatch r="G85"/>
    <cellWatch r="T63"/>
    <cellWatch r="T64"/>
    <cellWatch r="F73"/>
    <cellWatch r="F74"/>
    <cellWatch r="E67"/>
    <cellWatch r="E73"/>
    <cellWatch r="E74"/>
    <cellWatch r="I120"/>
    <cellWatch r="F145"/>
    <cellWatch r="F144"/>
    <cellWatch r="M122"/>
    <cellWatch r="M125"/>
    <cellWatch r="F126"/>
    <cellWatch r="I121"/>
    <cellWatch r="F143"/>
    <cellWatch r="F146"/>
    <cellWatch r="F134"/>
    <cellWatch r="F142"/>
    <cellWatch r="K120"/>
    <cellWatch r="H127"/>
    <cellWatch r="H126"/>
    <cellWatch r="H125"/>
    <cellWatch r="H135"/>
    <cellWatch r="H134"/>
    <cellWatch r="H143"/>
    <cellWatch r="H142"/>
    <cellWatch r="H133"/>
    <cellWatch r="E41"/>
    <cellWatch r="H41"/>
    <cellWatch r="K42"/>
    <cellWatch r="K41"/>
    <cellWatch r="T53"/>
    <cellWatch r="E75"/>
    <cellWatch r="T52"/>
    <cellWatch r="T54"/>
    <cellWatch r="L121"/>
    <cellWatch r="P123"/>
    <cellWatch r="P126"/>
    <cellWatch r="L122"/>
    <cellWatch r="F147"/>
    <cellWatch r="N121"/>
    <cellWatch r="H136"/>
    <cellWatch r="H144"/>
    <cellWatch r="F81"/>
    <cellWatch r="F82"/>
    <cellWatch r="T60"/>
    <cellWatch r="T61"/>
    <cellWatch r="N2"/>
    <cellWatch r="F72"/>
    <cellWatch r="T51"/>
    <cellWatch r="L120"/>
    <cellWatch r="P122"/>
    <cellWatch r="P125"/>
    <cellWatch r="F80"/>
    <cellWatch r="T59"/>
    <cellWatch r="F71"/>
    <cellWatch r="E70"/>
    <cellWatch r="S42"/>
    <cellWatch r="D63"/>
    <cellWatch r="S43"/>
    <cellWatch r="E71"/>
    <cellWatch r="D69"/>
    <cellWatch r="D70"/>
    <cellWatch r="E141"/>
    <cellWatch r="E140"/>
    <cellWatch r="N118"/>
    <cellWatch r="E122"/>
    <cellWatch r="H117"/>
    <cellWatch r="E139"/>
    <cellWatch r="E142"/>
    <cellWatch r="E130"/>
    <cellWatch r="E138"/>
    <cellWatch r="G123"/>
    <cellWatch r="G122"/>
    <cellWatch r="G121"/>
    <cellWatch r="G44"/>
    <cellWatch r="G74"/>
    <cellWatch r="G75"/>
    <cellWatch r="K2"/>
    <cellWatch r="G68"/>
    <cellWatch r="G73"/>
    <cellWatch r="K121"/>
    <cellWatch r="O123"/>
    <cellWatch r="K122"/>
    <cellWatch r="G135"/>
    <cellWatch r="G143"/>
    <cellWatch r="I122"/>
    <cellWatch r="M121"/>
    <cellWatch r="I127"/>
    <cellWatch r="I126"/>
    <cellWatch r="I136"/>
    <cellWatch r="I135"/>
    <cellWatch r="I144"/>
    <cellWatch r="I143"/>
    <cellWatch r="I134"/>
    <cellWatch r="G81"/>
    <cellWatch r="G82"/>
    <cellWatch r="M2"/>
    <cellWatch r="T49"/>
    <cellWatch r="G70"/>
    <cellWatch r="E76"/>
    <cellWatch r="E77"/>
    <cellWatch r="K123"/>
    <cellWatch r="O125"/>
    <cellWatch r="O128"/>
    <cellWatch r="I124"/>
    <cellWatch r="M123"/>
    <cellWatch r="I145"/>
    <cellWatch r="G83"/>
    <cellWatch r="T62"/>
    <cellWatch r="I51"/>
    <cellWatch r="I50"/>
    <cellWatch r="I52"/>
    <cellWatch r="I49"/>
    <cellWatch r="I63"/>
    <cellWatch r="I62"/>
    <cellWatch r="I71"/>
    <cellWatch r="I70"/>
    <cellWatch r="I61"/>
    <cellWatch r="G72"/>
    <cellWatch r="T87"/>
    <cellWatch r="G66"/>
    <cellWatch r="G65"/>
    <cellWatch r="G109"/>
    <cellWatch r="G69"/>
    <cellWatch r="S87"/>
    <cellWatch r="I60"/>
    <cellWatch r="I69"/>
    <cellWatch r="I68"/>
    <cellWatch r="I59"/>
    <cellWatch r="G110"/>
    <cellWatch r="G67"/>
    <cellWatch r="I53"/>
    <cellWatch r="I65"/>
    <cellWatch r="I64"/>
    <cellWatch r="T81"/>
    <cellWatch r="G103"/>
    <cellWatch r="S81"/>
    <cellWatch r="E63"/>
    <cellWatch r="E62"/>
    <cellWatch r="H71"/>
    <cellWatch r="H70"/>
    <cellWatch r="E72"/>
    <cellWatch r="E109"/>
    <cellWatch r="R87"/>
    <cellWatch r="H69"/>
    <cellWatch r="H68"/>
    <cellWatch r="E110"/>
    <cellWatch r="I72"/>
    <cellWatch r="T88"/>
    <cellWatch r="S88"/>
    <cellWatch r="G111"/>
    <cellWatch r="G157"/>
    <cellWatch r="G158"/>
    <cellWatch r="G165"/>
    <cellWatch r="G164"/>
    <cellWatch r="G166"/>
    <cellWatch r="G156"/>
    <cellWatch r="K156"/>
    <cellWatch r="G161"/>
    <cellWatch r="G160"/>
    <cellWatch r="G159"/>
    <cellWatch r="G173"/>
    <cellWatch r="G172"/>
    <cellWatch r="G181"/>
    <cellWatch r="G180"/>
    <cellWatch r="O158"/>
    <cellWatch r="O161"/>
    <cellWatch r="G162"/>
    <cellWatch r="G169"/>
    <cellWatch r="G168"/>
    <cellWatch r="G177"/>
    <cellWatch r="G176"/>
    <cellWatch r="K157"/>
    <cellWatch r="G163"/>
    <cellWatch r="G171"/>
    <cellWatch r="G179"/>
    <cellWatch r="G174"/>
    <cellWatch r="G182"/>
    <cellWatch r="G170"/>
    <cellWatch r="G178"/>
    <cellWatch r="I157"/>
    <cellWatch r="I160"/>
    <cellWatch r="I165"/>
    <cellWatch r="I164"/>
    <cellWatch r="M156"/>
    <cellWatch r="I163"/>
    <cellWatch r="I162"/>
    <cellWatch r="I161"/>
    <cellWatch r="I171"/>
    <cellWatch r="I170"/>
    <cellWatch r="I179"/>
    <cellWatch r="I178"/>
    <cellWatch r="I169"/>
    <cellWatch r="S86"/>
    <cellWatch r="G108"/>
    <cellWatch r="T86"/>
    <cellWatch r="I54"/>
    <cellWatch r="I66"/>
    <cellWatch r="I74"/>
    <cellWatch r="I73"/>
    <cellWatch r="S95"/>
    <cellWatch r="T95"/>
    <cellWatch r="T96"/>
    <cellWatch r="S96"/>
    <cellWatch r="S89"/>
    <cellWatch r="D62"/>
    <cellWatch r="D68"/>
    <cellWatch r="R83"/>
    <cellWatch r="E105"/>
    <cellWatch r="Q83"/>
    <cellWatch r="D67"/>
    <cellWatch r="E106"/>
    <cellWatch r="I2"/>
    <cellWatch r="D66"/>
    <cellWatch r="R78"/>
    <cellWatch r="D99"/>
    <cellWatch r="Q78"/>
    <cellWatch r="D71"/>
    <cellWatch r="R84"/>
    <cellWatch r="Q84"/>
    <cellWatch r="E107"/>
    <cellWatch r="C50"/>
    <cellWatch r="C49"/>
    <cellWatch r="C51"/>
    <cellWatch r="C55"/>
    <cellWatch r="C62"/>
    <cellWatch r="C61"/>
    <cellWatch r="C69"/>
    <cellWatch r="C68"/>
    <cellWatch r="C60"/>
    <cellWatch r="C63"/>
    <cellWatch r="C70"/>
    <cellWatch r="C53"/>
    <cellWatch r="C52"/>
    <cellWatch r="C65"/>
    <cellWatch r="C64"/>
    <cellWatch r="D105"/>
    <cellWatch r="P83"/>
    <cellWatch r="C59"/>
    <cellWatch r="C67"/>
    <cellWatch r="D106"/>
    <cellWatch r="E153"/>
    <cellWatch r="E154"/>
    <cellWatch r="E161"/>
    <cellWatch r="E160"/>
    <cellWatch r="E162"/>
    <cellWatch r="E152"/>
    <cellWatch r="I152"/>
    <cellWatch r="E157"/>
    <cellWatch r="E156"/>
    <cellWatch r="E155"/>
    <cellWatch r="E169"/>
    <cellWatch r="E168"/>
    <cellWatch r="E177"/>
    <cellWatch r="E176"/>
    <cellWatch r="M154"/>
    <cellWatch r="M157"/>
    <cellWatch r="E158"/>
    <cellWatch r="E165"/>
    <cellWatch r="E164"/>
    <cellWatch r="E173"/>
    <cellWatch r="E172"/>
    <cellWatch r="I153"/>
    <cellWatch r="E159"/>
    <cellWatch r="E167"/>
    <cellWatch r="E175"/>
    <cellWatch r="E170"/>
    <cellWatch r="E178"/>
    <cellWatch r="E166"/>
    <cellWatch r="E174"/>
    <cellWatch r="H153"/>
    <cellWatch r="H156"/>
    <cellWatch r="H161"/>
    <cellWatch r="H160"/>
    <cellWatch r="K152"/>
    <cellWatch r="H159"/>
    <cellWatch r="H158"/>
    <cellWatch r="H157"/>
    <cellWatch r="H167"/>
    <cellWatch r="H166"/>
    <cellWatch r="H175"/>
    <cellWatch r="H174"/>
    <cellWatch r="H165"/>
    <cellWatch r="D73"/>
    <cellWatch r="D74"/>
    <cellWatch r="H65"/>
    <cellWatch r="H66"/>
    <cellWatch r="H73"/>
    <cellWatch r="H72"/>
    <cellWatch r="H81"/>
    <cellWatch r="H80"/>
    <cellWatch r="K71"/>
    <cellWatch r="K70"/>
    <cellWatch r="K69"/>
    <cellWatch r="K68"/>
    <cellWatch r="K72"/>
    <cellWatch r="K66"/>
    <cellWatch r="K74"/>
    <cellWatch r="K73"/>
    <cellWatch r="O122"/>
    <cellWatch r="M120"/>
    <cellWatch r="I142"/>
    <cellWatch r="G80"/>
    <cellWatch r="T21"/>
    <cellWatch r="T19"/>
    <cellWatch r="T22"/>
    <cellWatch r="T47"/>
    <cellWatch r="O124"/>
    <cellWatch r="O127"/>
    <cellWatch r="I123"/>
    <cellWatch r="R42"/>
    <cellWatch r="D72"/>
    <cellWatch r="I118"/>
    <cellWatch r="E143"/>
    <cellWatch r="I119"/>
    <cellWatch r="E144"/>
    <cellWatch r="K118"/>
    <cellWatch r="H132"/>
    <cellWatch r="H141"/>
    <cellWatch r="H140"/>
    <cellWatch r="H131"/>
    <cellWatch r="T20"/>
    <cellWatch r="I116"/>
    <cellWatch r="M118"/>
    <cellWatch r="I117"/>
    <cellWatch r="K116"/>
    <cellWatch r="H139"/>
    <cellWatch r="H44"/>
    <cellWatch r="T12"/>
    <cellWatch r="T25"/>
    <cellWatch r="R44"/>
    <cellWatch r="Q44"/>
    <cellWatch r="P124"/>
    <cellWatch r="P127"/>
    <cellWatch r="N122"/>
    <cellWatch r="T27"/>
    <cellWatch r="I45"/>
    <cellWatch r="G2"/>
    <cellWatch r="C44"/>
    <cellWatch r="C43"/>
    <cellWatch r="C46"/>
    <cellWatch r="C45"/>
    <cellWatch r="C57"/>
    <cellWatch r="C56"/>
    <cellWatch r="I44"/>
    <cellWatch r="I46"/>
    <cellWatch r="C47"/>
    <cellWatch r="C58"/>
    <cellWatch r="C54"/>
    <cellWatch r="H43"/>
    <cellWatch r="Q123"/>
    <cellWatch r="Q126"/>
    <cellWatch r="O121"/>
    <cellWatch r="T11"/>
    <cellWatch r="O2"/>
    <cellWatch r="Q122"/>
    <cellWatch r="Q125"/>
    <cellWatch r="O120"/>
    <cellWatch r="T42"/>
    <cellWatch r="T43"/>
    <cellWatch r="O118"/>
    <cellWatch r="M116"/>
    <cellWatch r="I75"/>
    <cellWatch r="I76"/>
    <cellWatch r="H74"/>
    <cellWatch r="H75"/>
    <cellWatch r="I141"/>
    <cellWatch r="K130"/>
    <cellWatch r="K129"/>
    <cellWatch r="K128"/>
    <cellWatch r="K127"/>
    <cellWatch r="K126"/>
    <cellWatch r="K136"/>
    <cellWatch r="K135"/>
    <cellWatch r="K144"/>
    <cellWatch r="K143"/>
    <cellWatch r="K134"/>
    <cellWatch r="I81"/>
    <cellWatch r="I82"/>
    <cellWatch r="U53"/>
    <cellWatch r="U22"/>
    <cellWatch r="U21"/>
    <cellWatch r="U15"/>
    <cellWatch r="U14"/>
    <cellWatch r="U13"/>
    <cellWatch r="U20"/>
    <cellWatch r="V53"/>
    <cellWatch r="V54"/>
    <cellWatch r="U16"/>
    <cellWatch r="U54"/>
    <cellWatch r="I107"/>
    <cellWatch r="I67"/>
    <cellWatch r="K67"/>
    <cellWatch r="I108"/>
    <cellWatch r="I47"/>
    <cellWatch r="I58"/>
    <cellWatch r="I101"/>
    <cellWatch r="J69"/>
    <cellWatch r="J68"/>
    <cellWatch r="H107"/>
    <cellWatch r="H67"/>
    <cellWatch r="J67"/>
    <cellWatch r="J66"/>
    <cellWatch r="H108"/>
    <cellWatch r="I109"/>
    <cellWatch r="I155"/>
    <cellWatch r="I156"/>
    <cellWatch r="I154"/>
    <cellWatch r="I159"/>
    <cellWatch r="I158"/>
    <cellWatch r="Q156"/>
    <cellWatch r="Q159"/>
    <cellWatch r="I167"/>
    <cellWatch r="I166"/>
    <cellWatch r="I175"/>
    <cellWatch r="I174"/>
    <cellWatch r="M155"/>
    <cellWatch r="I177"/>
    <cellWatch r="I172"/>
    <cellWatch r="I180"/>
    <cellWatch r="I168"/>
    <cellWatch r="I176"/>
    <cellWatch r="K155"/>
    <cellWatch r="K158"/>
    <cellWatch r="K163"/>
    <cellWatch r="K162"/>
    <cellWatch r="O154"/>
    <cellWatch r="K161"/>
    <cellWatch r="K160"/>
    <cellWatch r="K159"/>
    <cellWatch r="K169"/>
    <cellWatch r="K168"/>
    <cellWatch r="K177"/>
    <cellWatch r="K176"/>
    <cellWatch r="K167"/>
    <cellWatch r="I106"/>
    <cellWatch r="I114"/>
    <cellWatch r="I115"/>
    <cellWatch r="H103"/>
    <cellWatch r="H104"/>
    <cellWatch r="D97"/>
    <cellWatch r="S76"/>
    <cellWatch r="S82"/>
    <cellWatch r="H105"/>
    <cellWatch r="C66"/>
    <cellWatch r="D103"/>
    <cellWatch r="R81"/>
    <cellWatch r="D104"/>
    <cellWatch r="H151"/>
    <cellWatch r="H152"/>
    <cellWatch r="H150"/>
    <cellWatch r="K150"/>
    <cellWatch r="H155"/>
    <cellWatch r="H154"/>
    <cellWatch r="O152"/>
    <cellWatch r="O155"/>
    <cellWatch r="H163"/>
    <cellWatch r="H162"/>
    <cellWatch r="H171"/>
    <cellWatch r="H170"/>
    <cellWatch r="K151"/>
    <cellWatch r="H173"/>
    <cellWatch r="H168"/>
    <cellWatch r="H176"/>
    <cellWatch r="H164"/>
    <cellWatch r="H172"/>
    <cellWatch r="J151"/>
    <cellWatch r="J154"/>
    <cellWatch r="J159"/>
    <cellWatch r="J158"/>
    <cellWatch r="M150"/>
    <cellWatch r="J157"/>
    <cellWatch r="J156"/>
    <cellWatch r="J155"/>
    <cellWatch r="J165"/>
    <cellWatch r="J164"/>
    <cellWatch r="J173"/>
    <cellWatch r="J172"/>
    <cellWatch r="J163"/>
    <cellWatch r="J71"/>
    <cellWatch r="J70"/>
    <cellWatch r="J79"/>
    <cellWatch r="J78"/>
    <cellWatch r="U84"/>
    <cellWatch r="U51"/>
    <cellWatch r="U50"/>
    <cellWatch r="U49"/>
    <cellWatch r="M69"/>
    <cellWatch r="M68"/>
    <cellWatch r="M67"/>
    <cellWatch r="M66"/>
    <cellWatch r="V84"/>
    <cellWatch r="M70"/>
    <cellWatch r="V85"/>
    <cellWatch r="U52"/>
    <cellWatch r="U47"/>
    <cellWatch r="U85"/>
    <cellWatch r="M72"/>
    <cellWatch r="M71"/>
    <cellWatch r="Q120"/>
    <cellWatch r="M119"/>
    <cellWatch r="I140"/>
    <cellWatch r="K119"/>
    <cellWatch r="K133"/>
    <cellWatch r="K132"/>
    <cellWatch r="K141"/>
    <cellWatch r="K140"/>
    <cellWatch r="K131"/>
    <cellWatch r="I78"/>
    <cellWatch r="I79"/>
    <cellWatch r="U19"/>
    <cellWatch r="U17"/>
    <cellWatch r="V50"/>
    <cellWatch r="V51"/>
    <cellWatch r="Q121"/>
    <cellWatch r="Q124"/>
    <cellWatch r="O119"/>
    <cellWatch r="K142"/>
    <cellWatch r="I80"/>
    <cellWatch r="V52"/>
    <cellWatch r="S41"/>
    <cellWatch r="H118"/>
    <cellWatch r="K117"/>
    <cellWatch r="J117"/>
    <cellWatch r="J120"/>
    <cellWatch r="J125"/>
    <cellWatch r="J124"/>
    <cellWatch r="J123"/>
    <cellWatch r="J122"/>
    <cellWatch r="J121"/>
    <cellWatch r="J131"/>
    <cellWatch r="J130"/>
    <cellWatch r="J139"/>
    <cellWatch r="J138"/>
    <cellWatch r="J129"/>
    <cellWatch r="J45"/>
    <cellWatch r="H115"/>
    <cellWatch r="H114"/>
    <cellWatch r="K114"/>
    <cellWatch r="O116"/>
    <cellWatch r="K115"/>
    <cellWatch r="J118"/>
    <cellWatch r="M114"/>
    <cellWatch r="J119"/>
    <cellWatch r="J128"/>
    <cellWatch r="J137"/>
    <cellWatch r="J136"/>
    <cellWatch r="J127"/>
    <cellWatch r="J44"/>
    <cellWatch r="J43"/>
    <cellWatch r="U44"/>
    <cellWatch r="R120"/>
    <cellWatch r="R123"/>
    <cellWatch r="P118"/>
    <cellWatch r="U58"/>
    <cellWatch r="V20"/>
    <cellWatch r="V19"/>
    <cellWatch r="V15"/>
    <cellWatch r="V14"/>
    <cellWatch r="V13"/>
    <cellWatch r="V17"/>
    <cellWatch r="P2"/>
    <cellWatch r="W50"/>
    <cellWatch r="W51"/>
    <cellWatch r="V21"/>
    <cellWatch r="V16"/>
    <cellWatch r="U46"/>
    <cellWatch r="R122"/>
    <cellWatch r="R125"/>
    <cellWatch r="P120"/>
    <cellWatch r="U59"/>
    <cellWatch r="U60"/>
    <cellWatch r="V22"/>
    <cellWatch r="W52"/>
    <cellWatch r="W53"/>
    <cellWatch r="F148"/>
    <cellWatch r="N125"/>
    <cellWatch r="N128"/>
    <cellWatch r="F149"/>
    <cellWatch r="L123"/>
    <cellWatch r="H146"/>
    <cellWatch r="H145"/>
    <cellWatch r="F41"/>
    <cellWatch r="F42"/>
    <cellWatch r="F83"/>
    <cellWatch r="F84"/>
    <cellWatch r="J41"/>
    <cellWatch r="F51"/>
    <cellWatch r="F50"/>
    <cellWatch r="F52"/>
    <cellWatch r="F63"/>
    <cellWatch r="F61"/>
    <cellWatch r="F64"/>
    <cellWatch r="F54"/>
    <cellWatch r="F53"/>
    <cellWatch r="F66"/>
    <cellWatch r="F65"/>
    <cellWatch r="F109"/>
    <cellWatch r="F60"/>
    <cellWatch r="F110"/>
    <cellWatch r="F49"/>
    <cellWatch r="F59"/>
    <cellWatch r="F103"/>
    <cellWatch r="Q87"/>
    <cellWatch r="R88"/>
    <cellWatch r="F111"/>
    <cellWatch r="F157"/>
    <cellWatch r="F158"/>
    <cellWatch r="F165"/>
    <cellWatch r="F164"/>
    <cellWatch r="F166"/>
    <cellWatch r="F156"/>
    <cellWatch r="F161"/>
    <cellWatch r="F160"/>
    <cellWatch r="F159"/>
    <cellWatch r="F173"/>
    <cellWatch r="F172"/>
    <cellWatch r="F181"/>
    <cellWatch r="F180"/>
    <cellWatch r="N158"/>
    <cellWatch r="N161"/>
    <cellWatch r="F162"/>
    <cellWatch r="F169"/>
    <cellWatch r="F168"/>
    <cellWatch r="F177"/>
    <cellWatch r="F176"/>
    <cellWatch r="F163"/>
    <cellWatch r="F171"/>
    <cellWatch r="F179"/>
    <cellWatch r="F174"/>
    <cellWatch r="F182"/>
    <cellWatch r="F170"/>
    <cellWatch r="F178"/>
    <cellWatch r="L156"/>
    <cellWatch r="H179"/>
    <cellWatch r="H178"/>
    <cellWatch r="H169"/>
    <cellWatch r="R86"/>
    <cellWatch r="F108"/>
    <cellWatch r="R95"/>
    <cellWatch r="R96"/>
    <cellWatch r="R89"/>
    <cellWatch r="P78"/>
    <cellWatch r="P84"/>
    <cellWatch r="O83"/>
    <cellWatch r="L154"/>
    <cellWatch r="L157"/>
    <cellWatch r="G153"/>
    <cellWatch r="J152"/>
    <cellWatch r="G167"/>
    <cellWatch r="G175"/>
    <cellWatch r="J72"/>
    <cellWatch r="J74"/>
    <cellWatch r="J73"/>
    <cellWatch r="N123"/>
    <cellWatch r="N126"/>
    <cellWatch r="N124"/>
    <cellWatch r="N127"/>
    <cellWatch r="L118"/>
    <cellWatch r="P44"/>
    <cellWatch r="F79"/>
    <cellWatch r="E78"/>
    <cellWatch r="E79"/>
    <cellWatch r="F150"/>
    <cellWatch r="N130"/>
    <cellWatch r="J126"/>
    <cellWatch r="F151"/>
    <cellWatch r="L125"/>
    <cellWatch r="H148"/>
    <cellWatch r="H147"/>
    <cellWatch r="F85"/>
    <cellWatch r="F86"/>
    <cellWatch r="N129"/>
    <cellWatch r="L124"/>
    <cellWatch r="D41"/>
    <cellWatch r="C42"/>
    <cellWatch r="C41"/>
    <cellWatch r="E145"/>
    <cellWatch r="E146"/>
    <cellWatch r="E80"/>
    <cellWatch r="N131"/>
    <cellWatch r="F152"/>
    <cellWatch r="L126"/>
    <cellWatch r="H149"/>
    <cellWatch r="F87"/>
    <cellWatch r="S66"/>
    <cellWatch r="R66"/>
    <cellWatch r="D75"/>
    <cellWatch r="D76"/>
    <cellWatch r="E147"/>
    <cellWatch r="L127"/>
    <cellWatch r="E148"/>
    <cellWatch r="T58"/>
    <cellWatch r="H76"/>
    <cellWatch r="J135"/>
    <cellWatch r="J144"/>
    <cellWatch r="J143"/>
    <cellWatch r="J134"/>
    <cellWatch r="H82"/>
    <cellWatch r="H101"/>
    <cellWatch r="G107"/>
    <cellWatch r="T85"/>
    <cellWatch r="H109"/>
    <cellWatch r="P156"/>
    <cellWatch r="P159"/>
    <cellWatch r="L155"/>
    <cellWatch r="H177"/>
    <cellWatch r="H180"/>
    <cellWatch r="J162"/>
    <cellWatch r="N154"/>
    <cellWatch r="J161"/>
    <cellWatch r="J160"/>
    <cellWatch r="J169"/>
    <cellWatch r="J168"/>
    <cellWatch r="J177"/>
    <cellWatch r="J176"/>
    <cellWatch r="J167"/>
    <cellWatch r="H106"/>
    <cellWatch r="G104"/>
    <cellWatch r="T76"/>
    <cellWatch r="R76"/>
    <cellWatch r="T82"/>
    <cellWatch r="R82"/>
    <cellWatch r="G105"/>
    <cellWatch r="Q81"/>
    <cellWatch r="G151"/>
    <cellWatch r="G152"/>
    <cellWatch r="J150"/>
    <cellWatch r="G155"/>
    <cellWatch r="G154"/>
    <cellWatch r="N152"/>
    <cellWatch r="N155"/>
    <cellWatch r="I151"/>
    <cellWatch r="L150"/>
    <cellWatch r="I173"/>
    <cellWatch r="L69"/>
    <cellWatch r="L68"/>
    <cellWatch r="L67"/>
    <cellWatch r="L66"/>
    <cellWatch r="L70"/>
    <cellWatch r="L72"/>
    <cellWatch r="L71"/>
    <cellWatch r="L119"/>
    <cellWatch r="J133"/>
    <cellWatch r="J132"/>
    <cellWatch r="J141"/>
    <cellWatch r="J140"/>
    <cellWatch r="H78"/>
    <cellWatch r="H79"/>
    <cellWatch r="P121"/>
    <cellWatch r="N119"/>
    <cellWatch r="J142"/>
    <cellWatch r="T10"/>
    <cellWatch r="T7"/>
    <cellWatch r="T6"/>
    <cellWatch r="T5"/>
    <cellWatch r="T9"/>
    <cellWatch r="T41"/>
    <cellWatch r="R41"/>
    <cellWatch r="G114"/>
    <cellWatch r="J114"/>
    <cellWatch r="N116"/>
    <cellWatch r="L114"/>
    <cellWatch r="I43"/>
    <cellWatch r="R43"/>
  </cellWatche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57A77-3D54-4CD1-B129-00705E2ED420}">
  <dimension ref="A1:Z1000"/>
  <sheetViews>
    <sheetView showGridLines="0" workbookViewId="0">
      <selection activeCell="F44" sqref="F44"/>
    </sheetView>
  </sheetViews>
  <sheetFormatPr defaultColWidth="11.25" defaultRowHeight="15" customHeight="1"/>
  <cols>
    <col min="1" max="1" width="2.625" customWidth="1"/>
    <col min="2" max="2" width="36.625" customWidth="1"/>
    <col min="3" max="3" width="13.875" customWidth="1"/>
    <col min="4" max="4" width="15.625" customWidth="1"/>
    <col min="5" max="5" width="13.875" customWidth="1"/>
    <col min="6" max="6" width="75.375" customWidth="1"/>
    <col min="7" max="7" width="15.625" customWidth="1"/>
    <col min="8" max="8" width="12" customWidth="1"/>
    <col min="9" max="25" width="11.875" customWidth="1"/>
    <col min="26" max="26" width="11.125" customWidth="1"/>
  </cols>
  <sheetData>
    <row r="1" spans="1:26" ht="15.75">
      <c r="A1" s="417"/>
      <c r="B1" s="417"/>
      <c r="C1" s="417"/>
      <c r="D1" s="417"/>
      <c r="E1" s="417"/>
      <c r="F1" s="417"/>
      <c r="G1" s="417"/>
      <c r="H1" s="417"/>
      <c r="I1" s="417"/>
      <c r="J1" s="417"/>
      <c r="K1" s="417"/>
      <c r="L1" s="417"/>
      <c r="M1" s="417"/>
      <c r="N1" s="417"/>
      <c r="O1" s="417"/>
      <c r="P1" s="417"/>
      <c r="Q1" s="417"/>
      <c r="R1" s="417"/>
      <c r="S1" s="417"/>
      <c r="T1" s="417"/>
      <c r="U1" s="417"/>
      <c r="V1" s="417"/>
      <c r="W1" s="417"/>
      <c r="X1" s="417"/>
      <c r="Y1" s="417"/>
      <c r="Z1" s="417"/>
    </row>
    <row r="2" spans="1:26" ht="16.5" thickBot="1">
      <c r="A2" s="417"/>
      <c r="B2" s="418" t="s">
        <v>403</v>
      </c>
      <c r="C2" s="419"/>
      <c r="D2" s="419"/>
      <c r="E2" s="419"/>
      <c r="F2" s="420"/>
      <c r="G2" s="420"/>
      <c r="H2" s="421"/>
      <c r="I2" s="421"/>
      <c r="J2" s="417"/>
      <c r="K2" s="417"/>
      <c r="L2" s="417"/>
      <c r="M2" s="417"/>
      <c r="N2" s="417"/>
      <c r="O2" s="417"/>
      <c r="P2" s="417"/>
      <c r="Q2" s="417"/>
      <c r="R2" s="417"/>
      <c r="S2" s="417"/>
      <c r="T2" s="417"/>
      <c r="U2" s="417"/>
      <c r="V2" s="417"/>
      <c r="W2" s="417"/>
      <c r="X2" s="417"/>
      <c r="Y2" s="417"/>
      <c r="Z2" s="417"/>
    </row>
    <row r="3" spans="1:26" ht="15.75" customHeight="1">
      <c r="A3" s="417"/>
      <c r="B3" s="421"/>
      <c r="C3" s="421"/>
      <c r="D3" s="421"/>
      <c r="E3" s="421"/>
      <c r="F3" s="422"/>
      <c r="G3" s="421"/>
      <c r="H3" s="421"/>
      <c r="I3" s="421"/>
      <c r="J3" s="417"/>
      <c r="K3" s="417"/>
      <c r="L3" s="417"/>
      <c r="M3" s="417"/>
      <c r="N3" s="417"/>
      <c r="O3" s="417"/>
      <c r="P3" s="417"/>
      <c r="Q3" s="417"/>
      <c r="R3" s="417"/>
      <c r="S3" s="417"/>
      <c r="T3" s="417"/>
      <c r="U3" s="417"/>
      <c r="V3" s="417"/>
      <c r="W3" s="417"/>
      <c r="X3" s="417"/>
      <c r="Y3" s="417"/>
      <c r="Z3" s="417"/>
    </row>
    <row r="4" spans="1:26" ht="15.75">
      <c r="A4" s="416"/>
      <c r="B4" s="423" t="s">
        <v>181</v>
      </c>
      <c r="C4" s="424" t="s">
        <v>404</v>
      </c>
      <c r="D4" s="424" t="s">
        <v>405</v>
      </c>
      <c r="E4" s="424" t="s">
        <v>406</v>
      </c>
      <c r="F4" s="424" t="s">
        <v>407</v>
      </c>
      <c r="G4" s="424" t="s">
        <v>408</v>
      </c>
      <c r="H4" s="425"/>
      <c r="I4" s="425"/>
      <c r="J4" s="416"/>
      <c r="K4" s="416"/>
      <c r="L4" s="416"/>
      <c r="M4" s="416"/>
      <c r="N4" s="416"/>
      <c r="O4" s="416"/>
      <c r="P4" s="416"/>
      <c r="Q4" s="416"/>
      <c r="R4" s="416"/>
      <c r="S4" s="416"/>
      <c r="T4" s="416"/>
      <c r="U4" s="416"/>
      <c r="V4" s="416"/>
      <c r="W4" s="416"/>
      <c r="X4" s="416"/>
      <c r="Y4" s="416"/>
      <c r="Z4" s="416"/>
    </row>
    <row r="5" spans="1:26" ht="24">
      <c r="A5" s="416"/>
      <c r="B5" s="425" t="s">
        <v>409</v>
      </c>
      <c r="C5" s="426">
        <v>88</v>
      </c>
      <c r="D5" s="426" t="s">
        <v>410</v>
      </c>
      <c r="E5" s="427">
        <f>11500+2600</f>
        <v>14100</v>
      </c>
      <c r="F5" s="428" t="s">
        <v>411</v>
      </c>
      <c r="G5" s="427">
        <f>C5*E5</f>
        <v>1240800</v>
      </c>
      <c r="H5" s="425"/>
      <c r="I5" s="425"/>
      <c r="J5" s="416"/>
      <c r="K5" s="416"/>
      <c r="L5" s="416"/>
      <c r="M5" s="416"/>
      <c r="N5" s="416"/>
      <c r="O5" s="416"/>
      <c r="P5" s="416"/>
      <c r="Q5" s="416"/>
      <c r="R5" s="416"/>
      <c r="S5" s="416"/>
      <c r="T5" s="416"/>
      <c r="U5" s="416"/>
      <c r="V5" s="416"/>
      <c r="W5" s="416"/>
      <c r="X5" s="416"/>
      <c r="Y5" s="416"/>
      <c r="Z5" s="416"/>
    </row>
    <row r="6" spans="1:26" ht="15.75" customHeight="1">
      <c r="A6" s="416"/>
      <c r="B6" s="429" t="s">
        <v>412</v>
      </c>
      <c r="C6" s="430"/>
      <c r="D6" s="430"/>
      <c r="E6" s="431"/>
      <c r="F6" s="432"/>
      <c r="G6" s="433">
        <f>SUM(G5)</f>
        <v>1240800</v>
      </c>
      <c r="H6" s="434">
        <f>G6/200</f>
        <v>6204</v>
      </c>
      <c r="I6" s="425"/>
      <c r="J6" s="416"/>
      <c r="K6" s="416"/>
      <c r="L6" s="416"/>
      <c r="M6" s="416"/>
      <c r="N6" s="416"/>
      <c r="O6" s="416"/>
      <c r="P6" s="416"/>
      <c r="Q6" s="416"/>
      <c r="R6" s="416"/>
      <c r="S6" s="416"/>
      <c r="T6" s="416"/>
      <c r="U6" s="416"/>
      <c r="V6" s="416"/>
      <c r="W6" s="416"/>
      <c r="X6" s="416"/>
      <c r="Y6" s="416"/>
      <c r="Z6" s="416"/>
    </row>
    <row r="7" spans="1:26" ht="15.75" customHeight="1">
      <c r="A7" s="416"/>
      <c r="B7" s="425"/>
      <c r="C7" s="426"/>
      <c r="D7" s="426"/>
      <c r="E7" s="427"/>
      <c r="F7" s="425"/>
      <c r="G7" s="426"/>
      <c r="H7" s="425"/>
      <c r="I7" s="425"/>
      <c r="J7" s="416"/>
      <c r="K7" s="416"/>
      <c r="L7" s="416"/>
      <c r="M7" s="416"/>
      <c r="N7" s="416"/>
      <c r="O7" s="416"/>
      <c r="P7" s="416"/>
      <c r="Q7" s="416"/>
      <c r="R7" s="416"/>
      <c r="S7" s="416"/>
      <c r="T7" s="416"/>
      <c r="U7" s="416"/>
      <c r="V7" s="416"/>
      <c r="W7" s="416"/>
      <c r="X7" s="416"/>
      <c r="Y7" s="416"/>
      <c r="Z7" s="416"/>
    </row>
    <row r="8" spans="1:26" ht="15.75">
      <c r="A8" s="416"/>
      <c r="B8" s="423" t="s">
        <v>413</v>
      </c>
      <c r="C8" s="424" t="s">
        <v>404</v>
      </c>
      <c r="D8" s="424" t="s">
        <v>405</v>
      </c>
      <c r="E8" s="424" t="s">
        <v>406</v>
      </c>
      <c r="F8" s="424" t="s">
        <v>407</v>
      </c>
      <c r="G8" s="424" t="s">
        <v>408</v>
      </c>
      <c r="H8" s="425"/>
      <c r="I8" s="425"/>
      <c r="J8" s="416"/>
      <c r="K8" s="416"/>
      <c r="L8" s="416"/>
      <c r="M8" s="416"/>
      <c r="N8" s="416"/>
      <c r="O8" s="416"/>
      <c r="P8" s="416"/>
      <c r="Q8" s="416"/>
      <c r="R8" s="416"/>
      <c r="S8" s="416"/>
      <c r="T8" s="416"/>
      <c r="U8" s="416"/>
      <c r="V8" s="416"/>
      <c r="W8" s="416"/>
      <c r="X8" s="416"/>
      <c r="Y8" s="416"/>
      <c r="Z8" s="416"/>
    </row>
    <row r="9" spans="1:26" ht="15.75" customHeight="1">
      <c r="A9" s="416"/>
      <c r="B9" s="425" t="s">
        <v>414</v>
      </c>
      <c r="C9" s="426">
        <v>32</v>
      </c>
      <c r="D9" s="426" t="s">
        <v>415</v>
      </c>
      <c r="E9" s="427">
        <v>20000</v>
      </c>
      <c r="F9" s="428" t="s">
        <v>416</v>
      </c>
      <c r="G9" s="427">
        <f t="shared" ref="G9:G17" si="0">C9*E9</f>
        <v>640000</v>
      </c>
      <c r="H9" s="434"/>
      <c r="I9" s="425"/>
      <c r="J9" s="416"/>
      <c r="K9" s="416"/>
      <c r="L9" s="416"/>
      <c r="M9" s="416"/>
      <c r="N9" s="416"/>
      <c r="O9" s="416"/>
      <c r="P9" s="416"/>
      <c r="Q9" s="416"/>
      <c r="R9" s="416"/>
      <c r="S9" s="416"/>
      <c r="T9" s="416"/>
      <c r="U9" s="416"/>
      <c r="V9" s="416"/>
      <c r="W9" s="416"/>
      <c r="X9" s="416"/>
      <c r="Y9" s="416"/>
      <c r="Z9" s="416"/>
    </row>
    <row r="10" spans="1:26" ht="15.75" customHeight="1">
      <c r="A10" s="416"/>
      <c r="B10" s="425" t="s">
        <v>417</v>
      </c>
      <c r="C10" s="426">
        <v>32</v>
      </c>
      <c r="D10" s="426" t="s">
        <v>415</v>
      </c>
      <c r="E10" s="427">
        <v>10000</v>
      </c>
      <c r="F10" s="428" t="s">
        <v>418</v>
      </c>
      <c r="G10" s="427">
        <f t="shared" si="0"/>
        <v>320000</v>
      </c>
      <c r="H10" s="425"/>
      <c r="I10" s="425"/>
      <c r="J10" s="416"/>
      <c r="K10" s="416"/>
      <c r="L10" s="416"/>
      <c r="M10" s="416"/>
      <c r="N10" s="416"/>
      <c r="O10" s="416"/>
      <c r="P10" s="416"/>
      <c r="Q10" s="416"/>
      <c r="R10" s="416"/>
      <c r="S10" s="416"/>
      <c r="T10" s="416"/>
      <c r="U10" s="416"/>
      <c r="V10" s="416"/>
      <c r="W10" s="416"/>
      <c r="X10" s="416"/>
      <c r="Y10" s="416"/>
      <c r="Z10" s="416"/>
    </row>
    <row r="11" spans="1:26" ht="15.75" customHeight="1">
      <c r="A11" s="416"/>
      <c r="B11" s="425" t="s">
        <v>419</v>
      </c>
      <c r="C11" s="426">
        <v>1</v>
      </c>
      <c r="D11" s="426"/>
      <c r="E11" s="427">
        <v>60000</v>
      </c>
      <c r="F11" s="428" t="s">
        <v>420</v>
      </c>
      <c r="G11" s="427">
        <f t="shared" si="0"/>
        <v>60000</v>
      </c>
      <c r="H11" s="425"/>
      <c r="I11" s="425"/>
      <c r="J11" s="416"/>
      <c r="K11" s="416"/>
      <c r="L11" s="416"/>
      <c r="M11" s="416"/>
      <c r="N11" s="416"/>
      <c r="O11" s="416"/>
      <c r="P11" s="416"/>
      <c r="Q11" s="416"/>
      <c r="R11" s="416"/>
      <c r="S11" s="416"/>
      <c r="T11" s="416"/>
      <c r="U11" s="416"/>
      <c r="V11" s="416"/>
      <c r="W11" s="416"/>
      <c r="X11" s="416"/>
      <c r="Y11" s="416"/>
      <c r="Z11" s="416"/>
    </row>
    <row r="12" spans="1:26" ht="15.75" customHeight="1">
      <c r="A12" s="416"/>
      <c r="B12" s="425" t="s">
        <v>421</v>
      </c>
      <c r="C12" s="426">
        <v>1</v>
      </c>
      <c r="D12" s="426"/>
      <c r="E12" s="427">
        <v>100000</v>
      </c>
      <c r="F12" s="428" t="s">
        <v>422</v>
      </c>
      <c r="G12" s="427">
        <f t="shared" si="0"/>
        <v>100000</v>
      </c>
      <c r="H12" s="425"/>
      <c r="I12" s="425"/>
      <c r="J12" s="416"/>
      <c r="K12" s="416"/>
      <c r="L12" s="416"/>
      <c r="M12" s="416"/>
      <c r="N12" s="416"/>
      <c r="O12" s="416"/>
      <c r="P12" s="416"/>
      <c r="Q12" s="416"/>
      <c r="R12" s="416"/>
      <c r="S12" s="416"/>
      <c r="T12" s="416"/>
      <c r="U12" s="416"/>
      <c r="V12" s="416"/>
      <c r="W12" s="416"/>
      <c r="X12" s="416"/>
      <c r="Y12" s="416"/>
      <c r="Z12" s="416"/>
    </row>
    <row r="13" spans="1:26" ht="15.75" customHeight="1">
      <c r="A13" s="416"/>
      <c r="B13" s="425" t="s">
        <v>423</v>
      </c>
      <c r="C13" s="426">
        <v>2</v>
      </c>
      <c r="D13" s="426" t="s">
        <v>424</v>
      </c>
      <c r="E13" s="427">
        <v>13000</v>
      </c>
      <c r="F13" s="428" t="s">
        <v>425</v>
      </c>
      <c r="G13" s="427">
        <f t="shared" si="0"/>
        <v>26000</v>
      </c>
      <c r="H13" s="425"/>
      <c r="I13" s="425"/>
      <c r="J13" s="416"/>
      <c r="K13" s="416"/>
      <c r="L13" s="416"/>
      <c r="M13" s="416"/>
      <c r="N13" s="416"/>
      <c r="O13" s="416"/>
      <c r="P13" s="416"/>
      <c r="Q13" s="416"/>
      <c r="R13" s="416"/>
      <c r="S13" s="416"/>
      <c r="T13" s="416"/>
      <c r="U13" s="416"/>
      <c r="V13" s="416"/>
      <c r="W13" s="416"/>
      <c r="X13" s="416"/>
      <c r="Y13" s="416"/>
      <c r="Z13" s="416"/>
    </row>
    <row r="14" spans="1:26" ht="15.75" customHeight="1">
      <c r="A14" s="416"/>
      <c r="B14" s="425" t="s">
        <v>426</v>
      </c>
      <c r="C14" s="426">
        <v>1</v>
      </c>
      <c r="D14" s="426" t="s">
        <v>427</v>
      </c>
      <c r="E14" s="427">
        <v>50000</v>
      </c>
      <c r="F14" s="428" t="s">
        <v>428</v>
      </c>
      <c r="G14" s="427">
        <f t="shared" si="0"/>
        <v>50000</v>
      </c>
      <c r="H14" s="425"/>
      <c r="I14" s="425"/>
      <c r="J14" s="416"/>
      <c r="K14" s="416"/>
      <c r="L14" s="416"/>
      <c r="M14" s="416"/>
      <c r="N14" s="416"/>
      <c r="O14" s="416"/>
      <c r="P14" s="416"/>
      <c r="Q14" s="416"/>
      <c r="R14" s="416"/>
      <c r="S14" s="416"/>
      <c r="T14" s="416"/>
      <c r="U14" s="416"/>
      <c r="V14" s="416"/>
      <c r="W14" s="416"/>
      <c r="X14" s="416"/>
      <c r="Y14" s="416"/>
      <c r="Z14" s="416"/>
    </row>
    <row r="15" spans="1:26" ht="15.75" customHeight="1">
      <c r="A15" s="416"/>
      <c r="B15" s="425" t="s">
        <v>429</v>
      </c>
      <c r="C15" s="426">
        <v>1</v>
      </c>
      <c r="D15" s="426" t="s">
        <v>430</v>
      </c>
      <c r="E15" s="427">
        <v>25000</v>
      </c>
      <c r="F15" s="428" t="s">
        <v>431</v>
      </c>
      <c r="G15" s="427">
        <f t="shared" si="0"/>
        <v>25000</v>
      </c>
      <c r="H15" s="425"/>
      <c r="I15" s="425"/>
      <c r="J15" s="416"/>
      <c r="K15" s="416"/>
      <c r="L15" s="416"/>
      <c r="M15" s="416"/>
      <c r="N15" s="416"/>
      <c r="O15" s="416"/>
      <c r="P15" s="416"/>
      <c r="Q15" s="416"/>
      <c r="R15" s="416"/>
      <c r="S15" s="416"/>
      <c r="T15" s="416"/>
      <c r="U15" s="416"/>
      <c r="V15" s="416"/>
      <c r="W15" s="416"/>
      <c r="X15" s="416"/>
      <c r="Y15" s="416"/>
      <c r="Z15" s="416"/>
    </row>
    <row r="16" spans="1:26" ht="15.75" customHeight="1">
      <c r="A16" s="416"/>
      <c r="B16" s="425" t="s">
        <v>432</v>
      </c>
      <c r="C16" s="426">
        <v>1</v>
      </c>
      <c r="D16" s="426" t="s">
        <v>433</v>
      </c>
      <c r="E16" s="427">
        <v>50000</v>
      </c>
      <c r="F16" s="428" t="s">
        <v>434</v>
      </c>
      <c r="G16" s="427">
        <f t="shared" si="0"/>
        <v>50000</v>
      </c>
      <c r="H16" s="425"/>
      <c r="I16" s="425"/>
      <c r="J16" s="416"/>
      <c r="K16" s="416"/>
      <c r="L16" s="416"/>
      <c r="M16" s="416"/>
      <c r="N16" s="416"/>
      <c r="O16" s="416"/>
      <c r="P16" s="416"/>
      <c r="Q16" s="416"/>
      <c r="R16" s="416"/>
      <c r="S16" s="416"/>
      <c r="T16" s="416"/>
      <c r="U16" s="416"/>
      <c r="V16" s="416"/>
      <c r="W16" s="416"/>
      <c r="X16" s="416"/>
      <c r="Y16" s="416"/>
      <c r="Z16" s="416"/>
    </row>
    <row r="17" spans="1:26" ht="15.75" customHeight="1">
      <c r="A17" s="416"/>
      <c r="B17" s="425" t="s">
        <v>435</v>
      </c>
      <c r="C17" s="426">
        <v>1</v>
      </c>
      <c r="D17" s="426"/>
      <c r="E17" s="427">
        <v>150000</v>
      </c>
      <c r="F17" s="428" t="s">
        <v>436</v>
      </c>
      <c r="G17" s="427">
        <f t="shared" si="0"/>
        <v>150000</v>
      </c>
      <c r="H17" s="425"/>
      <c r="I17" s="425"/>
      <c r="J17" s="416"/>
      <c r="K17" s="416"/>
      <c r="L17" s="416"/>
      <c r="M17" s="416"/>
      <c r="N17" s="416"/>
      <c r="O17" s="416"/>
      <c r="P17" s="416"/>
      <c r="Q17" s="416"/>
      <c r="R17" s="416"/>
      <c r="S17" s="416"/>
      <c r="T17" s="416"/>
      <c r="U17" s="416"/>
      <c r="V17" s="416"/>
      <c r="W17" s="416"/>
      <c r="X17" s="416"/>
      <c r="Y17" s="416"/>
      <c r="Z17" s="416"/>
    </row>
    <row r="18" spans="1:26" ht="15.75" customHeight="1">
      <c r="A18" s="416"/>
      <c r="B18" s="429" t="s">
        <v>437</v>
      </c>
      <c r="C18" s="430"/>
      <c r="D18" s="430"/>
      <c r="E18" s="431"/>
      <c r="F18" s="432"/>
      <c r="G18" s="433">
        <f>SUM(G9:G17)</f>
        <v>1421000</v>
      </c>
      <c r="H18" s="434"/>
      <c r="I18" s="425"/>
      <c r="J18" s="416"/>
      <c r="K18" s="416"/>
      <c r="L18" s="416"/>
      <c r="M18" s="416"/>
      <c r="N18" s="416"/>
      <c r="O18" s="416"/>
      <c r="P18" s="416"/>
      <c r="Q18" s="416"/>
      <c r="R18" s="416"/>
      <c r="S18" s="416"/>
      <c r="T18" s="416"/>
      <c r="U18" s="416"/>
      <c r="V18" s="416"/>
      <c r="W18" s="416"/>
      <c r="X18" s="416"/>
      <c r="Y18" s="416"/>
      <c r="Z18" s="416"/>
    </row>
    <row r="19" spans="1:26" ht="15.75" customHeight="1">
      <c r="A19" s="416"/>
      <c r="B19" s="435" t="s">
        <v>438</v>
      </c>
      <c r="C19" s="426"/>
      <c r="D19" s="426"/>
      <c r="E19" s="427"/>
      <c r="F19" s="425"/>
      <c r="G19" s="436">
        <f>G18+G6</f>
        <v>2661800</v>
      </c>
      <c r="H19" s="425"/>
      <c r="I19" s="425"/>
      <c r="J19" s="416"/>
      <c r="K19" s="416"/>
      <c r="L19" s="416"/>
      <c r="M19" s="416"/>
      <c r="N19" s="416"/>
      <c r="O19" s="416"/>
      <c r="P19" s="416"/>
      <c r="Q19" s="416"/>
      <c r="R19" s="416"/>
      <c r="S19" s="416"/>
      <c r="T19" s="416"/>
      <c r="U19" s="416"/>
      <c r="V19" s="416"/>
      <c r="W19" s="416"/>
      <c r="X19" s="416"/>
      <c r="Y19" s="416"/>
      <c r="Z19" s="416"/>
    </row>
    <row r="20" spans="1:26" ht="15.75" customHeight="1">
      <c r="A20" s="416"/>
      <c r="B20" s="425" t="s">
        <v>114</v>
      </c>
      <c r="C20" s="437">
        <v>0.05</v>
      </c>
      <c r="D20" s="426"/>
      <c r="E20" s="427"/>
      <c r="F20" s="425"/>
      <c r="G20" s="436">
        <f>G19*C20</f>
        <v>133090</v>
      </c>
      <c r="H20" s="425"/>
      <c r="I20" s="425"/>
      <c r="J20" s="416"/>
      <c r="K20" s="416"/>
      <c r="L20" s="416"/>
      <c r="M20" s="416"/>
      <c r="N20" s="416"/>
      <c r="O20" s="416"/>
      <c r="P20" s="416"/>
      <c r="Q20" s="416"/>
      <c r="R20" s="416"/>
      <c r="S20" s="416"/>
      <c r="T20" s="416"/>
      <c r="U20" s="416"/>
      <c r="V20" s="416"/>
      <c r="W20" s="416"/>
      <c r="X20" s="416"/>
      <c r="Y20" s="416"/>
      <c r="Z20" s="416"/>
    </row>
    <row r="21" spans="1:26" ht="15.75" customHeight="1">
      <c r="A21" s="416"/>
      <c r="B21" s="425" t="s">
        <v>439</v>
      </c>
      <c r="C21" s="437">
        <v>0.08</v>
      </c>
      <c r="D21" s="426"/>
      <c r="E21" s="427"/>
      <c r="F21" s="425"/>
      <c r="G21" s="436">
        <f>(G19+G20)*C21</f>
        <v>223591.2</v>
      </c>
      <c r="H21" s="425"/>
      <c r="I21" s="425"/>
      <c r="J21" s="416"/>
      <c r="K21" s="416"/>
      <c r="L21" s="416"/>
      <c r="M21" s="416"/>
      <c r="N21" s="416"/>
      <c r="O21" s="416"/>
      <c r="P21" s="416"/>
      <c r="Q21" s="416"/>
      <c r="R21" s="416"/>
      <c r="S21" s="416"/>
      <c r="T21" s="416"/>
      <c r="U21" s="416"/>
      <c r="V21" s="416"/>
      <c r="W21" s="416"/>
      <c r="X21" s="416"/>
      <c r="Y21" s="416"/>
      <c r="Z21" s="416"/>
    </row>
    <row r="22" spans="1:26" ht="15.75" customHeight="1">
      <c r="A22" s="416"/>
      <c r="B22" s="429" t="s">
        <v>440</v>
      </c>
      <c r="C22" s="430"/>
      <c r="D22" s="430"/>
      <c r="E22" s="431"/>
      <c r="F22" s="432"/>
      <c r="G22" s="433">
        <f>G19+G20+G21</f>
        <v>3018481.2</v>
      </c>
      <c r="H22" s="438">
        <v>0.35589554110855476</v>
      </c>
      <c r="I22" s="425" t="s">
        <v>441</v>
      </c>
      <c r="J22" s="416"/>
      <c r="K22" s="416"/>
      <c r="L22" s="416"/>
      <c r="M22" s="416"/>
      <c r="N22" s="416"/>
      <c r="O22" s="416"/>
      <c r="P22" s="416"/>
      <c r="Q22" s="416"/>
      <c r="R22" s="416"/>
      <c r="S22" s="416"/>
      <c r="T22" s="416"/>
      <c r="U22" s="416"/>
      <c r="V22" s="416"/>
      <c r="W22" s="416"/>
      <c r="X22" s="416"/>
      <c r="Y22" s="416"/>
      <c r="Z22" s="416"/>
    </row>
    <row r="23" spans="1:26" ht="15.75" customHeight="1">
      <c r="A23" s="417"/>
      <c r="B23" s="421"/>
      <c r="C23" s="439"/>
      <c r="D23" s="439"/>
      <c r="E23" s="439"/>
      <c r="F23" s="421"/>
      <c r="G23" s="439"/>
      <c r="H23" s="440">
        <f>G22/200</f>
        <v>15092.406000000001</v>
      </c>
      <c r="I23" s="425" t="s">
        <v>442</v>
      </c>
      <c r="J23" s="417"/>
      <c r="K23" s="417"/>
      <c r="L23" s="417"/>
      <c r="M23" s="417"/>
      <c r="N23" s="417"/>
      <c r="O23" s="417"/>
      <c r="P23" s="417"/>
      <c r="Q23" s="417"/>
      <c r="R23" s="417"/>
      <c r="S23" s="417"/>
      <c r="T23" s="417"/>
      <c r="U23" s="417"/>
      <c r="V23" s="417"/>
      <c r="W23" s="417"/>
      <c r="X23" s="417"/>
      <c r="Y23" s="417"/>
      <c r="Z23" s="417"/>
    </row>
    <row r="24" spans="1:26" ht="15.75">
      <c r="A24" s="417"/>
      <c r="B24" s="417"/>
      <c r="C24" s="417"/>
      <c r="D24" s="417"/>
      <c r="E24" s="417"/>
      <c r="F24" s="417"/>
      <c r="G24" s="417"/>
      <c r="H24" s="417"/>
      <c r="I24" s="417"/>
      <c r="J24" s="417"/>
      <c r="K24" s="417"/>
      <c r="L24" s="417"/>
      <c r="M24" s="417"/>
      <c r="N24" s="417"/>
      <c r="O24" s="417"/>
      <c r="P24" s="417"/>
      <c r="Q24" s="417"/>
      <c r="R24" s="417"/>
      <c r="S24" s="417"/>
      <c r="T24" s="417"/>
      <c r="U24" s="417"/>
      <c r="V24" s="417"/>
      <c r="W24" s="417"/>
      <c r="X24" s="417"/>
      <c r="Y24" s="417"/>
      <c r="Z24" s="417"/>
    </row>
    <row r="25" spans="1:26" ht="15.75">
      <c r="A25" s="417"/>
      <c r="B25" s="417"/>
      <c r="C25" s="417"/>
      <c r="D25" s="417"/>
      <c r="E25" s="417"/>
      <c r="F25" s="417"/>
      <c r="G25" s="417"/>
      <c r="H25" s="417"/>
      <c r="I25" s="417"/>
      <c r="J25" s="417"/>
      <c r="K25" s="417"/>
      <c r="L25" s="417"/>
      <c r="M25" s="417"/>
      <c r="N25" s="417"/>
      <c r="O25" s="417"/>
      <c r="P25" s="417"/>
      <c r="Q25" s="417"/>
      <c r="R25" s="417"/>
      <c r="S25" s="417"/>
      <c r="T25" s="417"/>
      <c r="U25" s="417"/>
      <c r="V25" s="417"/>
      <c r="W25" s="417"/>
      <c r="X25" s="417"/>
      <c r="Y25" s="417"/>
      <c r="Z25" s="417"/>
    </row>
    <row r="26" spans="1:26" ht="15.75">
      <c r="A26" s="417"/>
      <c r="B26" s="417"/>
      <c r="C26" s="417"/>
      <c r="D26" s="417"/>
      <c r="E26" s="417"/>
      <c r="F26" s="417"/>
      <c r="G26" s="417"/>
      <c r="H26" s="417"/>
      <c r="I26" s="417"/>
      <c r="J26" s="417"/>
      <c r="K26" s="417"/>
      <c r="L26" s="417"/>
      <c r="M26" s="417"/>
      <c r="N26" s="417"/>
      <c r="O26" s="417"/>
      <c r="P26" s="417"/>
      <c r="Q26" s="417"/>
      <c r="R26" s="417"/>
      <c r="S26" s="417"/>
      <c r="T26" s="417"/>
      <c r="U26" s="417"/>
      <c r="V26" s="417"/>
      <c r="W26" s="417"/>
      <c r="X26" s="417"/>
      <c r="Y26" s="417"/>
      <c r="Z26" s="417"/>
    </row>
    <row r="27" spans="1:26" ht="15.75">
      <c r="A27" s="417"/>
      <c r="B27" s="417"/>
      <c r="C27" s="417"/>
      <c r="D27" s="417"/>
      <c r="E27" s="417"/>
      <c r="F27" s="417"/>
      <c r="G27" s="417"/>
      <c r="H27" s="417"/>
      <c r="I27" s="417"/>
      <c r="J27" s="417"/>
      <c r="K27" s="417"/>
      <c r="L27" s="417"/>
      <c r="M27" s="417"/>
      <c r="N27" s="417"/>
      <c r="O27" s="417"/>
      <c r="P27" s="417"/>
      <c r="Q27" s="417"/>
      <c r="R27" s="417"/>
      <c r="S27" s="417"/>
      <c r="T27" s="417"/>
      <c r="U27" s="417"/>
      <c r="V27" s="417"/>
      <c r="W27" s="417"/>
      <c r="X27" s="417"/>
      <c r="Y27" s="417"/>
      <c r="Z27" s="417"/>
    </row>
    <row r="28" spans="1:26" ht="15.75">
      <c r="A28" s="417"/>
      <c r="B28" s="417"/>
      <c r="C28" s="417"/>
      <c r="D28" s="417"/>
      <c r="E28" s="417"/>
      <c r="F28" s="417"/>
      <c r="G28" s="417"/>
      <c r="H28" s="417"/>
      <c r="I28" s="417"/>
      <c r="J28" s="417"/>
      <c r="K28" s="417"/>
      <c r="L28" s="417"/>
      <c r="M28" s="417"/>
      <c r="N28" s="417"/>
      <c r="O28" s="417"/>
      <c r="P28" s="417"/>
      <c r="Q28" s="417"/>
      <c r="R28" s="417"/>
      <c r="S28" s="417"/>
      <c r="T28" s="417"/>
      <c r="U28" s="417"/>
      <c r="V28" s="417"/>
      <c r="W28" s="417"/>
      <c r="X28" s="417"/>
      <c r="Y28" s="417"/>
      <c r="Z28" s="417"/>
    </row>
    <row r="29" spans="1:26" ht="15.75">
      <c r="A29" s="417"/>
      <c r="B29" s="417"/>
      <c r="C29" s="417"/>
      <c r="D29" s="417"/>
      <c r="E29" s="417"/>
      <c r="F29" s="417"/>
      <c r="G29" s="417"/>
      <c r="H29" s="417"/>
      <c r="I29" s="417"/>
      <c r="J29" s="417"/>
      <c r="K29" s="417"/>
      <c r="L29" s="417"/>
      <c r="M29" s="417"/>
      <c r="N29" s="417"/>
      <c r="O29" s="417"/>
      <c r="P29" s="417"/>
      <c r="Q29" s="417"/>
      <c r="R29" s="417"/>
      <c r="S29" s="417"/>
      <c r="T29" s="417"/>
      <c r="U29" s="417"/>
      <c r="V29" s="417"/>
      <c r="W29" s="417"/>
      <c r="X29" s="417"/>
      <c r="Y29" s="417"/>
      <c r="Z29" s="417"/>
    </row>
    <row r="30" spans="1:26" ht="15.75">
      <c r="A30" s="417"/>
      <c r="B30" s="417"/>
      <c r="C30" s="417"/>
      <c r="D30" s="417"/>
      <c r="E30" s="417"/>
      <c r="F30" s="417"/>
      <c r="G30" s="417"/>
      <c r="H30" s="417"/>
      <c r="I30" s="417"/>
      <c r="J30" s="417"/>
      <c r="K30" s="417"/>
      <c r="L30" s="417"/>
      <c r="M30" s="417"/>
      <c r="N30" s="417"/>
      <c r="O30" s="417"/>
      <c r="P30" s="417"/>
      <c r="Q30" s="417"/>
      <c r="R30" s="417"/>
      <c r="S30" s="417"/>
      <c r="T30" s="417"/>
      <c r="U30" s="417"/>
      <c r="V30" s="417"/>
      <c r="W30" s="417"/>
      <c r="X30" s="417"/>
      <c r="Y30" s="417"/>
      <c r="Z30" s="417"/>
    </row>
    <row r="31" spans="1:26" ht="15.75">
      <c r="A31" s="417"/>
      <c r="B31" s="417"/>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row>
    <row r="32" spans="1:26" ht="15.75">
      <c r="A32" s="417"/>
      <c r="B32" s="417"/>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417"/>
    </row>
    <row r="33" spans="1:26" ht="15.75">
      <c r="A33" s="417"/>
      <c r="B33" s="417"/>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417"/>
    </row>
    <row r="34" spans="1:26" ht="15.75">
      <c r="A34" s="417"/>
      <c r="B34" s="417"/>
      <c r="C34" s="417"/>
      <c r="D34" s="417"/>
      <c r="E34" s="417"/>
      <c r="F34" s="417"/>
      <c r="G34" s="417"/>
      <c r="H34" s="417"/>
      <c r="I34" s="417"/>
      <c r="J34" s="417"/>
      <c r="K34" s="417"/>
      <c r="L34" s="417"/>
      <c r="M34" s="417"/>
      <c r="N34" s="417"/>
      <c r="O34" s="417"/>
      <c r="P34" s="417"/>
      <c r="Q34" s="417"/>
      <c r="R34" s="417"/>
      <c r="S34" s="417"/>
      <c r="T34" s="417"/>
      <c r="U34" s="417"/>
      <c r="V34" s="417"/>
      <c r="W34" s="417"/>
      <c r="X34" s="417"/>
      <c r="Y34" s="417"/>
      <c r="Z34" s="417"/>
    </row>
    <row r="35" spans="1:26" ht="15.75">
      <c r="A35" s="417"/>
      <c r="B35" s="417"/>
      <c r="C35" s="417"/>
      <c r="D35" s="417"/>
      <c r="E35" s="417"/>
      <c r="F35" s="417"/>
      <c r="G35" s="417"/>
      <c r="H35" s="417"/>
      <c r="I35" s="417"/>
      <c r="J35" s="417"/>
      <c r="K35" s="417"/>
      <c r="L35" s="417"/>
      <c r="M35" s="417"/>
      <c r="N35" s="417"/>
      <c r="O35" s="417"/>
      <c r="P35" s="417"/>
      <c r="Q35" s="417"/>
      <c r="R35" s="417"/>
      <c r="S35" s="417"/>
      <c r="T35" s="417"/>
      <c r="U35" s="417"/>
      <c r="V35" s="417"/>
      <c r="W35" s="417"/>
      <c r="X35" s="417"/>
      <c r="Y35" s="417"/>
      <c r="Z35" s="417"/>
    </row>
    <row r="36" spans="1:26" ht="15.75">
      <c r="A36" s="417"/>
      <c r="B36" s="417"/>
      <c r="C36" s="417"/>
      <c r="D36" s="417"/>
      <c r="E36" s="417"/>
      <c r="F36" s="417"/>
      <c r="G36" s="417"/>
      <c r="H36" s="417"/>
      <c r="I36" s="417"/>
      <c r="J36" s="417"/>
      <c r="K36" s="417"/>
      <c r="L36" s="417"/>
      <c r="M36" s="417"/>
      <c r="N36" s="417"/>
      <c r="O36" s="417"/>
      <c r="P36" s="417"/>
      <c r="Q36" s="417"/>
      <c r="R36" s="417"/>
      <c r="S36" s="417"/>
      <c r="T36" s="417"/>
      <c r="U36" s="417"/>
      <c r="V36" s="417"/>
      <c r="W36" s="417"/>
      <c r="X36" s="417"/>
      <c r="Y36" s="417"/>
      <c r="Z36" s="417"/>
    </row>
    <row r="37" spans="1:26" ht="15.75">
      <c r="A37" s="417"/>
      <c r="B37" s="417"/>
      <c r="C37" s="417"/>
      <c r="D37" s="417"/>
      <c r="E37" s="417"/>
      <c r="F37" s="417"/>
      <c r="G37" s="417"/>
      <c r="H37" s="417"/>
      <c r="I37" s="417"/>
      <c r="J37" s="417"/>
      <c r="K37" s="417"/>
      <c r="L37" s="417"/>
      <c r="M37" s="417"/>
      <c r="N37" s="417"/>
      <c r="O37" s="417"/>
      <c r="P37" s="417"/>
      <c r="Q37" s="417"/>
      <c r="R37" s="417"/>
      <c r="S37" s="417"/>
      <c r="T37" s="417"/>
      <c r="U37" s="417"/>
      <c r="V37" s="417"/>
      <c r="W37" s="417"/>
      <c r="X37" s="417"/>
      <c r="Y37" s="417"/>
      <c r="Z37" s="417"/>
    </row>
    <row r="38" spans="1:26" ht="15.75">
      <c r="A38" s="417"/>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row>
    <row r="39" spans="1:26" ht="15.75">
      <c r="A39" s="417"/>
      <c r="B39" s="417"/>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row>
    <row r="40" spans="1:26" ht="15.75">
      <c r="A40" s="417"/>
      <c r="B40" s="417"/>
      <c r="C40" s="417"/>
      <c r="D40" s="417"/>
      <c r="E40" s="417"/>
      <c r="F40" s="417"/>
      <c r="G40" s="417"/>
      <c r="H40" s="417"/>
      <c r="I40" s="417"/>
      <c r="J40" s="417"/>
      <c r="K40" s="417"/>
      <c r="L40" s="417"/>
      <c r="M40" s="417"/>
      <c r="N40" s="417"/>
      <c r="O40" s="417"/>
      <c r="P40" s="417"/>
      <c r="Q40" s="417"/>
      <c r="R40" s="417"/>
      <c r="S40" s="417"/>
      <c r="T40" s="417"/>
      <c r="U40" s="417"/>
      <c r="V40" s="417"/>
      <c r="W40" s="417"/>
      <c r="X40" s="417"/>
      <c r="Y40" s="417"/>
      <c r="Z40" s="417"/>
    </row>
    <row r="41" spans="1:26" ht="15.75">
      <c r="A41" s="417"/>
      <c r="B41" s="417"/>
      <c r="C41" s="417"/>
      <c r="D41" s="417"/>
      <c r="E41" s="417"/>
      <c r="F41" s="417"/>
      <c r="G41" s="417"/>
      <c r="H41" s="417"/>
      <c r="I41" s="417"/>
      <c r="J41" s="417"/>
      <c r="K41" s="417"/>
      <c r="L41" s="417"/>
      <c r="M41" s="417"/>
      <c r="N41" s="417"/>
      <c r="O41" s="417"/>
      <c r="P41" s="417"/>
      <c r="Q41" s="417"/>
      <c r="R41" s="417"/>
      <c r="S41" s="417"/>
      <c r="T41" s="417"/>
      <c r="U41" s="417"/>
      <c r="V41" s="417"/>
      <c r="W41" s="417"/>
      <c r="X41" s="417"/>
      <c r="Y41" s="417"/>
      <c r="Z41" s="417"/>
    </row>
    <row r="42" spans="1:26" ht="15.75">
      <c r="A42" s="417"/>
      <c r="B42" s="417"/>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row>
    <row r="43" spans="1:26" ht="15.75">
      <c r="A43" s="417"/>
      <c r="B43" s="417"/>
      <c r="C43" s="417"/>
      <c r="D43" s="417"/>
      <c r="E43" s="417"/>
      <c r="F43" s="417"/>
      <c r="G43" s="417"/>
      <c r="H43" s="417"/>
      <c r="I43" s="417"/>
      <c r="J43" s="417"/>
      <c r="K43" s="417"/>
      <c r="L43" s="417"/>
      <c r="M43" s="417"/>
      <c r="N43" s="417"/>
      <c r="O43" s="417"/>
      <c r="P43" s="417"/>
      <c r="Q43" s="417"/>
      <c r="R43" s="417"/>
      <c r="S43" s="417"/>
      <c r="T43" s="417"/>
      <c r="U43" s="417"/>
      <c r="V43" s="417"/>
      <c r="W43" s="417"/>
      <c r="X43" s="417"/>
      <c r="Y43" s="417"/>
      <c r="Z43" s="417"/>
    </row>
    <row r="44" spans="1:26" ht="15.75">
      <c r="A44" s="417"/>
      <c r="B44" s="417"/>
      <c r="C44" s="417"/>
      <c r="D44" s="417"/>
      <c r="E44" s="417"/>
      <c r="F44" s="417"/>
      <c r="G44" s="417"/>
      <c r="H44" s="417"/>
      <c r="I44" s="417"/>
      <c r="J44" s="417"/>
      <c r="K44" s="417"/>
      <c r="L44" s="417"/>
      <c r="M44" s="417"/>
      <c r="N44" s="417"/>
      <c r="O44" s="417"/>
      <c r="P44" s="417"/>
      <c r="Q44" s="417"/>
      <c r="R44" s="417"/>
      <c r="S44" s="417"/>
      <c r="T44" s="417"/>
      <c r="U44" s="417"/>
      <c r="V44" s="417"/>
      <c r="W44" s="417"/>
      <c r="X44" s="417"/>
      <c r="Y44" s="417"/>
      <c r="Z44" s="417"/>
    </row>
    <row r="45" spans="1:26" ht="15.75">
      <c r="A45" s="417"/>
      <c r="B45" s="417"/>
      <c r="C45" s="417"/>
      <c r="D45" s="417"/>
      <c r="E45" s="417"/>
      <c r="F45" s="417"/>
      <c r="G45" s="417"/>
      <c r="H45" s="417"/>
      <c r="I45" s="417"/>
      <c r="J45" s="417"/>
      <c r="K45" s="417"/>
      <c r="L45" s="417"/>
      <c r="M45" s="417"/>
      <c r="N45" s="417"/>
      <c r="O45" s="417"/>
      <c r="P45" s="417"/>
      <c r="Q45" s="417"/>
      <c r="R45" s="417"/>
      <c r="S45" s="417"/>
      <c r="T45" s="417"/>
      <c r="U45" s="417"/>
      <c r="V45" s="417"/>
      <c r="W45" s="417"/>
      <c r="X45" s="417"/>
      <c r="Y45" s="417"/>
      <c r="Z45" s="417"/>
    </row>
    <row r="46" spans="1:26" ht="15.75">
      <c r="A46" s="417"/>
      <c r="B46" s="417"/>
      <c r="C46" s="417"/>
      <c r="D46" s="417"/>
      <c r="E46" s="417"/>
      <c r="F46" s="417"/>
      <c r="G46" s="417"/>
      <c r="H46" s="417"/>
      <c r="I46" s="417"/>
      <c r="J46" s="417"/>
      <c r="K46" s="417"/>
      <c r="L46" s="417"/>
      <c r="M46" s="417"/>
      <c r="N46" s="417"/>
      <c r="O46" s="417"/>
      <c r="P46" s="417"/>
      <c r="Q46" s="417"/>
      <c r="R46" s="417"/>
      <c r="S46" s="417"/>
      <c r="T46" s="417"/>
      <c r="U46" s="417"/>
      <c r="V46" s="417"/>
      <c r="W46" s="417"/>
      <c r="X46" s="417"/>
      <c r="Y46" s="417"/>
      <c r="Z46" s="417"/>
    </row>
    <row r="47" spans="1:26" ht="15.75">
      <c r="A47" s="417"/>
      <c r="B47" s="417"/>
      <c r="C47" s="417"/>
      <c r="D47" s="417"/>
      <c r="E47" s="417"/>
      <c r="F47" s="417"/>
      <c r="G47" s="417"/>
      <c r="H47" s="417"/>
      <c r="I47" s="417"/>
      <c r="J47" s="417"/>
      <c r="K47" s="417"/>
      <c r="L47" s="417"/>
      <c r="M47" s="417"/>
      <c r="N47" s="417"/>
      <c r="O47" s="417"/>
      <c r="P47" s="417"/>
      <c r="Q47" s="417"/>
      <c r="R47" s="417"/>
      <c r="S47" s="417"/>
      <c r="T47" s="417"/>
      <c r="U47" s="417"/>
      <c r="V47" s="417"/>
      <c r="W47" s="417"/>
      <c r="X47" s="417"/>
      <c r="Y47" s="417"/>
      <c r="Z47" s="417"/>
    </row>
    <row r="48" spans="1:26" ht="15.75">
      <c r="A48" s="417"/>
      <c r="B48" s="417"/>
      <c r="C48" s="417"/>
      <c r="D48" s="417"/>
      <c r="E48" s="417"/>
      <c r="F48" s="417"/>
      <c r="G48" s="417"/>
      <c r="H48" s="417"/>
      <c r="I48" s="417"/>
      <c r="J48" s="417"/>
      <c r="K48" s="417"/>
      <c r="L48" s="417"/>
      <c r="M48" s="417"/>
      <c r="N48" s="417"/>
      <c r="O48" s="417"/>
      <c r="P48" s="417"/>
      <c r="Q48" s="417"/>
      <c r="R48" s="417"/>
      <c r="S48" s="417"/>
      <c r="T48" s="417"/>
      <c r="U48" s="417"/>
      <c r="V48" s="417"/>
      <c r="W48" s="417"/>
      <c r="X48" s="417"/>
      <c r="Y48" s="417"/>
      <c r="Z48" s="417"/>
    </row>
    <row r="49" spans="1:26" ht="15.75">
      <c r="A49" s="417"/>
      <c r="B49" s="417"/>
      <c r="C49" s="417"/>
      <c r="D49" s="417"/>
      <c r="E49" s="417"/>
      <c r="F49" s="417"/>
      <c r="G49" s="417"/>
      <c r="H49" s="417"/>
      <c r="I49" s="417"/>
      <c r="J49" s="417"/>
      <c r="K49" s="417"/>
      <c r="L49" s="417"/>
      <c r="M49" s="417"/>
      <c r="N49" s="417"/>
      <c r="O49" s="417"/>
      <c r="P49" s="417"/>
      <c r="Q49" s="417"/>
      <c r="R49" s="417"/>
      <c r="S49" s="417"/>
      <c r="T49" s="417"/>
      <c r="U49" s="417"/>
      <c r="V49" s="417"/>
      <c r="W49" s="417"/>
      <c r="X49" s="417"/>
      <c r="Y49" s="417"/>
      <c r="Z49" s="417"/>
    </row>
    <row r="50" spans="1:26" ht="15.75">
      <c r="A50" s="417"/>
      <c r="B50" s="417"/>
      <c r="C50" s="417"/>
      <c r="D50" s="417"/>
      <c r="E50" s="417"/>
      <c r="F50" s="417"/>
      <c r="G50" s="417"/>
      <c r="H50" s="417"/>
      <c r="I50" s="417"/>
      <c r="J50" s="417"/>
      <c r="K50" s="417"/>
      <c r="L50" s="417"/>
      <c r="M50" s="417"/>
      <c r="N50" s="417"/>
      <c r="O50" s="417"/>
      <c r="P50" s="417"/>
      <c r="Q50" s="417"/>
      <c r="R50" s="417"/>
      <c r="S50" s="417"/>
      <c r="T50" s="417"/>
      <c r="U50" s="417"/>
      <c r="V50" s="417"/>
      <c r="W50" s="417"/>
      <c r="X50" s="417"/>
      <c r="Y50" s="417"/>
      <c r="Z50" s="417"/>
    </row>
    <row r="51" spans="1:26" ht="15.75">
      <c r="A51" s="417"/>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row>
    <row r="52" spans="1:26" ht="15.75">
      <c r="A52" s="417"/>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row>
    <row r="53" spans="1:26" ht="15.75">
      <c r="A53" s="417"/>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26" ht="15.75">
      <c r="A54" s="417"/>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row>
    <row r="55" spans="1:26" ht="15.75">
      <c r="A55" s="417"/>
      <c r="B55" s="417"/>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row>
    <row r="56" spans="1:26" ht="15.75">
      <c r="A56" s="417"/>
      <c r="B56" s="417"/>
      <c r="C56" s="417"/>
      <c r="D56" s="417"/>
      <c r="E56" s="417"/>
      <c r="F56" s="417"/>
      <c r="G56" s="417"/>
      <c r="H56" s="417"/>
      <c r="I56" s="417"/>
      <c r="J56" s="417"/>
      <c r="K56" s="417"/>
      <c r="L56" s="417"/>
      <c r="M56" s="417"/>
      <c r="N56" s="417"/>
      <c r="O56" s="417"/>
      <c r="P56" s="417"/>
      <c r="Q56" s="417"/>
      <c r="R56" s="417"/>
      <c r="S56" s="417"/>
      <c r="T56" s="417"/>
      <c r="U56" s="417"/>
      <c r="V56" s="417"/>
      <c r="W56" s="417"/>
      <c r="X56" s="417"/>
      <c r="Y56" s="417"/>
      <c r="Z56" s="417"/>
    </row>
    <row r="57" spans="1:26" ht="15.75">
      <c r="A57" s="417"/>
      <c r="B57" s="417"/>
      <c r="C57" s="417"/>
      <c r="D57" s="417"/>
      <c r="E57" s="417"/>
      <c r="F57" s="417"/>
      <c r="G57" s="417"/>
      <c r="H57" s="417"/>
      <c r="I57" s="417"/>
      <c r="J57" s="417"/>
      <c r="K57" s="417"/>
      <c r="L57" s="417"/>
      <c r="M57" s="417"/>
      <c r="N57" s="417"/>
      <c r="O57" s="417"/>
      <c r="P57" s="417"/>
      <c r="Q57" s="417"/>
      <c r="R57" s="417"/>
      <c r="S57" s="417"/>
      <c r="T57" s="417"/>
      <c r="U57" s="417"/>
      <c r="V57" s="417"/>
      <c r="W57" s="417"/>
      <c r="X57" s="417"/>
      <c r="Y57" s="417"/>
      <c r="Z57" s="417"/>
    </row>
    <row r="58" spans="1:26" ht="15.75">
      <c r="A58" s="417"/>
      <c r="B58" s="417"/>
      <c r="C58" s="417"/>
      <c r="D58" s="417"/>
      <c r="E58" s="417"/>
      <c r="F58" s="417"/>
      <c r="G58" s="417"/>
      <c r="H58" s="417"/>
      <c r="I58" s="417"/>
      <c r="J58" s="417"/>
      <c r="K58" s="417"/>
      <c r="L58" s="417"/>
      <c r="M58" s="417"/>
      <c r="N58" s="417"/>
      <c r="O58" s="417"/>
      <c r="P58" s="417"/>
      <c r="Q58" s="417"/>
      <c r="R58" s="417"/>
      <c r="S58" s="417"/>
      <c r="T58" s="417"/>
      <c r="U58" s="417"/>
      <c r="V58" s="417"/>
      <c r="W58" s="417"/>
      <c r="X58" s="417"/>
      <c r="Y58" s="417"/>
      <c r="Z58" s="417"/>
    </row>
    <row r="59" spans="1:26" ht="15.75">
      <c r="A59" s="417"/>
      <c r="B59" s="417"/>
      <c r="C59" s="417"/>
      <c r="D59" s="417"/>
      <c r="E59" s="417"/>
      <c r="F59" s="417"/>
      <c r="G59" s="417"/>
      <c r="H59" s="417"/>
      <c r="I59" s="417"/>
      <c r="J59" s="417"/>
      <c r="K59" s="417"/>
      <c r="L59" s="417"/>
      <c r="M59" s="417"/>
      <c r="N59" s="417"/>
      <c r="O59" s="417"/>
      <c r="P59" s="417"/>
      <c r="Q59" s="417"/>
      <c r="R59" s="417"/>
      <c r="S59" s="417"/>
      <c r="T59" s="417"/>
      <c r="U59" s="417"/>
      <c r="V59" s="417"/>
      <c r="W59" s="417"/>
      <c r="X59" s="417"/>
      <c r="Y59" s="417"/>
      <c r="Z59" s="417"/>
    </row>
    <row r="60" spans="1:26" ht="15.75">
      <c r="A60" s="417"/>
      <c r="B60" s="417"/>
      <c r="C60" s="417"/>
      <c r="D60" s="417"/>
      <c r="E60" s="417"/>
      <c r="F60" s="417"/>
      <c r="G60" s="417"/>
      <c r="H60" s="417"/>
      <c r="I60" s="417"/>
      <c r="J60" s="417"/>
      <c r="K60" s="417"/>
      <c r="L60" s="417"/>
      <c r="M60" s="417"/>
      <c r="N60" s="417"/>
      <c r="O60" s="417"/>
      <c r="P60" s="417"/>
      <c r="Q60" s="417"/>
      <c r="R60" s="417"/>
      <c r="S60" s="417"/>
      <c r="T60" s="417"/>
      <c r="U60" s="417"/>
      <c r="V60" s="417"/>
      <c r="W60" s="417"/>
      <c r="X60" s="417"/>
      <c r="Y60" s="417"/>
      <c r="Z60" s="417"/>
    </row>
    <row r="61" spans="1:26" ht="15.75">
      <c r="A61" s="417"/>
      <c r="B61" s="417"/>
      <c r="C61" s="417"/>
      <c r="D61" s="417"/>
      <c r="E61" s="417"/>
      <c r="F61" s="417"/>
      <c r="G61" s="417"/>
      <c r="H61" s="417"/>
      <c r="I61" s="417"/>
      <c r="J61" s="417"/>
      <c r="K61" s="417"/>
      <c r="L61" s="417"/>
      <c r="M61" s="417"/>
      <c r="N61" s="417"/>
      <c r="O61" s="417"/>
      <c r="P61" s="417"/>
      <c r="Q61" s="417"/>
      <c r="R61" s="417"/>
      <c r="S61" s="417"/>
      <c r="T61" s="417"/>
      <c r="U61" s="417"/>
      <c r="V61" s="417"/>
      <c r="W61" s="417"/>
      <c r="X61" s="417"/>
      <c r="Y61" s="417"/>
      <c r="Z61" s="417"/>
    </row>
    <row r="62" spans="1:26" ht="15.75">
      <c r="A62" s="417"/>
      <c r="B62" s="417"/>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row>
    <row r="63" spans="1:26" ht="15.75">
      <c r="A63" s="417"/>
      <c r="B63" s="417"/>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row>
    <row r="64" spans="1:26" ht="15.75">
      <c r="A64" s="417"/>
      <c r="B64" s="417"/>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row>
    <row r="65" spans="1:26" ht="15.75">
      <c r="A65" s="417"/>
      <c r="B65" s="417"/>
      <c r="C65" s="417"/>
      <c r="D65" s="417"/>
      <c r="E65" s="417"/>
      <c r="F65" s="417"/>
      <c r="G65" s="417"/>
      <c r="H65" s="417"/>
      <c r="I65" s="417"/>
      <c r="J65" s="417"/>
      <c r="K65" s="417"/>
      <c r="L65" s="417"/>
      <c r="M65" s="417"/>
      <c r="N65" s="417"/>
      <c r="O65" s="417"/>
      <c r="P65" s="417"/>
      <c r="Q65" s="417"/>
      <c r="R65" s="417"/>
      <c r="S65" s="417"/>
      <c r="T65" s="417"/>
      <c r="U65" s="417"/>
      <c r="V65" s="417"/>
      <c r="W65" s="417"/>
      <c r="X65" s="417"/>
      <c r="Y65" s="417"/>
      <c r="Z65" s="417"/>
    </row>
    <row r="66" spans="1:26" ht="15.75">
      <c r="A66" s="417"/>
      <c r="B66" s="417"/>
      <c r="C66" s="417"/>
      <c r="D66" s="417"/>
      <c r="E66" s="417"/>
      <c r="F66" s="417"/>
      <c r="G66" s="417"/>
      <c r="H66" s="417"/>
      <c r="I66" s="417"/>
      <c r="J66" s="417"/>
      <c r="K66" s="417"/>
      <c r="L66" s="417"/>
      <c r="M66" s="417"/>
      <c r="N66" s="417"/>
      <c r="O66" s="417"/>
      <c r="P66" s="417"/>
      <c r="Q66" s="417"/>
      <c r="R66" s="417"/>
      <c r="S66" s="417"/>
      <c r="T66" s="417"/>
      <c r="U66" s="417"/>
      <c r="V66" s="417"/>
      <c r="W66" s="417"/>
      <c r="X66" s="417"/>
      <c r="Y66" s="417"/>
      <c r="Z66" s="417"/>
    </row>
    <row r="67" spans="1:26" ht="15.75">
      <c r="A67" s="417"/>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row>
    <row r="68" spans="1:26" ht="15.75">
      <c r="A68" s="417"/>
      <c r="B68" s="417"/>
      <c r="C68" s="417"/>
      <c r="D68" s="417"/>
      <c r="E68" s="417"/>
      <c r="F68" s="417"/>
      <c r="G68" s="417"/>
      <c r="H68" s="417"/>
      <c r="I68" s="417"/>
      <c r="J68" s="417"/>
      <c r="K68" s="417"/>
      <c r="L68" s="417"/>
      <c r="M68" s="417"/>
      <c r="N68" s="417"/>
      <c r="O68" s="417"/>
      <c r="P68" s="417"/>
      <c r="Q68" s="417"/>
      <c r="R68" s="417"/>
      <c r="S68" s="417"/>
      <c r="T68" s="417"/>
      <c r="U68" s="417"/>
      <c r="V68" s="417"/>
      <c r="W68" s="417"/>
      <c r="X68" s="417"/>
      <c r="Y68" s="417"/>
      <c r="Z68" s="417"/>
    </row>
    <row r="69" spans="1:26" ht="15.75">
      <c r="A69" s="417"/>
      <c r="B69" s="417"/>
      <c r="C69" s="417"/>
      <c r="D69" s="417"/>
      <c r="E69" s="417"/>
      <c r="F69" s="417"/>
      <c r="G69" s="417"/>
      <c r="H69" s="417"/>
      <c r="I69" s="417"/>
      <c r="J69" s="417"/>
      <c r="K69" s="417"/>
      <c r="L69" s="417"/>
      <c r="M69" s="417"/>
      <c r="N69" s="417"/>
      <c r="O69" s="417"/>
      <c r="P69" s="417"/>
      <c r="Q69" s="417"/>
      <c r="R69" s="417"/>
      <c r="S69" s="417"/>
      <c r="T69" s="417"/>
      <c r="U69" s="417"/>
      <c r="V69" s="417"/>
      <c r="W69" s="417"/>
      <c r="X69" s="417"/>
      <c r="Y69" s="417"/>
      <c r="Z69" s="417"/>
    </row>
    <row r="70" spans="1:26" ht="15.75">
      <c r="A70" s="417"/>
      <c r="B70" s="417"/>
      <c r="C70" s="417"/>
      <c r="D70" s="417"/>
      <c r="E70" s="417"/>
      <c r="F70" s="417"/>
      <c r="G70" s="417"/>
      <c r="H70" s="417"/>
      <c r="I70" s="417"/>
      <c r="J70" s="417"/>
      <c r="K70" s="417"/>
      <c r="L70" s="417"/>
      <c r="M70" s="417"/>
      <c r="N70" s="417"/>
      <c r="O70" s="417"/>
      <c r="P70" s="417"/>
      <c r="Q70" s="417"/>
      <c r="R70" s="417"/>
      <c r="S70" s="417"/>
      <c r="T70" s="417"/>
      <c r="U70" s="417"/>
      <c r="V70" s="417"/>
      <c r="W70" s="417"/>
      <c r="X70" s="417"/>
      <c r="Y70" s="417"/>
      <c r="Z70" s="417"/>
    </row>
    <row r="71" spans="1:26" ht="15.75">
      <c r="A71" s="417"/>
      <c r="B71" s="417"/>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row>
    <row r="72" spans="1:26" ht="15.75">
      <c r="A72" s="417"/>
      <c r="B72" s="417"/>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row>
    <row r="73" spans="1:26" ht="15.75">
      <c r="A73" s="417"/>
      <c r="B73" s="417"/>
      <c r="C73" s="417"/>
      <c r="D73" s="417"/>
      <c r="E73" s="417"/>
      <c r="F73" s="417"/>
      <c r="G73" s="417"/>
      <c r="H73" s="417"/>
      <c r="I73" s="417"/>
      <c r="J73" s="417"/>
      <c r="K73" s="417"/>
      <c r="L73" s="417"/>
      <c r="M73" s="417"/>
      <c r="N73" s="417"/>
      <c r="O73" s="417"/>
      <c r="P73" s="417"/>
      <c r="Q73" s="417"/>
      <c r="R73" s="417"/>
      <c r="S73" s="417"/>
      <c r="T73" s="417"/>
      <c r="U73" s="417"/>
      <c r="V73" s="417"/>
      <c r="W73" s="417"/>
      <c r="X73" s="417"/>
      <c r="Y73" s="417"/>
      <c r="Z73" s="417"/>
    </row>
    <row r="74" spans="1:26" ht="15.75">
      <c r="A74" s="417"/>
      <c r="B74" s="417"/>
      <c r="C74" s="417"/>
      <c r="D74" s="417"/>
      <c r="E74" s="417"/>
      <c r="F74" s="417"/>
      <c r="G74" s="417"/>
      <c r="H74" s="417"/>
      <c r="I74" s="417"/>
      <c r="J74" s="417"/>
      <c r="K74" s="417"/>
      <c r="L74" s="417"/>
      <c r="M74" s="417"/>
      <c r="N74" s="417"/>
      <c r="O74" s="417"/>
      <c r="P74" s="417"/>
      <c r="Q74" s="417"/>
      <c r="R74" s="417"/>
      <c r="S74" s="417"/>
      <c r="T74" s="417"/>
      <c r="U74" s="417"/>
      <c r="V74" s="417"/>
      <c r="W74" s="417"/>
      <c r="X74" s="417"/>
      <c r="Y74" s="417"/>
      <c r="Z74" s="417"/>
    </row>
    <row r="75" spans="1:26" ht="15.75">
      <c r="A75" s="417"/>
      <c r="B75" s="417"/>
      <c r="C75" s="417"/>
      <c r="D75" s="417"/>
      <c r="E75" s="417"/>
      <c r="F75" s="417"/>
      <c r="G75" s="417"/>
      <c r="H75" s="417"/>
      <c r="I75" s="417"/>
      <c r="J75" s="417"/>
      <c r="K75" s="417"/>
      <c r="L75" s="417"/>
      <c r="M75" s="417"/>
      <c r="N75" s="417"/>
      <c r="O75" s="417"/>
      <c r="P75" s="417"/>
      <c r="Q75" s="417"/>
      <c r="R75" s="417"/>
      <c r="S75" s="417"/>
      <c r="T75" s="417"/>
      <c r="U75" s="417"/>
      <c r="V75" s="417"/>
      <c r="W75" s="417"/>
      <c r="X75" s="417"/>
      <c r="Y75" s="417"/>
      <c r="Z75" s="417"/>
    </row>
    <row r="76" spans="1:26" ht="15.75">
      <c r="A76" s="417"/>
      <c r="B76" s="417"/>
      <c r="C76" s="417"/>
      <c r="D76" s="417"/>
      <c r="E76" s="417"/>
      <c r="F76" s="417"/>
      <c r="G76" s="417"/>
      <c r="H76" s="417"/>
      <c r="I76" s="417"/>
      <c r="J76" s="417"/>
      <c r="K76" s="417"/>
      <c r="L76" s="417"/>
      <c r="M76" s="417"/>
      <c r="N76" s="417"/>
      <c r="O76" s="417"/>
      <c r="P76" s="417"/>
      <c r="Q76" s="417"/>
      <c r="R76" s="417"/>
      <c r="S76" s="417"/>
      <c r="T76" s="417"/>
      <c r="U76" s="417"/>
      <c r="V76" s="417"/>
      <c r="W76" s="417"/>
      <c r="X76" s="417"/>
      <c r="Y76" s="417"/>
      <c r="Z76" s="417"/>
    </row>
    <row r="77" spans="1:26" ht="15.75">
      <c r="A77" s="417"/>
      <c r="B77" s="417"/>
      <c r="C77" s="417"/>
      <c r="D77" s="417"/>
      <c r="E77" s="417"/>
      <c r="F77" s="417"/>
      <c r="G77" s="417"/>
      <c r="H77" s="417"/>
      <c r="I77" s="417"/>
      <c r="J77" s="417"/>
      <c r="K77" s="417"/>
      <c r="L77" s="417"/>
      <c r="M77" s="417"/>
      <c r="N77" s="417"/>
      <c r="O77" s="417"/>
      <c r="P77" s="417"/>
      <c r="Q77" s="417"/>
      <c r="R77" s="417"/>
      <c r="S77" s="417"/>
      <c r="T77" s="417"/>
      <c r="U77" s="417"/>
      <c r="V77" s="417"/>
      <c r="W77" s="417"/>
      <c r="X77" s="417"/>
      <c r="Y77" s="417"/>
      <c r="Z77" s="417"/>
    </row>
    <row r="78" spans="1:26" ht="15.75">
      <c r="A78" s="417"/>
      <c r="B78" s="417"/>
      <c r="C78" s="417"/>
      <c r="D78" s="417"/>
      <c r="E78" s="417"/>
      <c r="F78" s="417"/>
      <c r="G78" s="417"/>
      <c r="H78" s="417"/>
      <c r="I78" s="417"/>
      <c r="J78" s="417"/>
      <c r="K78" s="417"/>
      <c r="L78" s="417"/>
      <c r="M78" s="417"/>
      <c r="N78" s="417"/>
      <c r="O78" s="417"/>
      <c r="P78" s="417"/>
      <c r="Q78" s="417"/>
      <c r="R78" s="417"/>
      <c r="S78" s="417"/>
      <c r="T78" s="417"/>
      <c r="U78" s="417"/>
      <c r="V78" s="417"/>
      <c r="W78" s="417"/>
      <c r="X78" s="417"/>
      <c r="Y78" s="417"/>
      <c r="Z78" s="417"/>
    </row>
    <row r="79" spans="1:26" ht="15.75">
      <c r="A79" s="417"/>
      <c r="B79" s="417"/>
      <c r="C79" s="417"/>
      <c r="D79" s="417"/>
      <c r="E79" s="417"/>
      <c r="F79" s="417"/>
      <c r="G79" s="417"/>
      <c r="H79" s="417"/>
      <c r="I79" s="417"/>
      <c r="J79" s="417"/>
      <c r="K79" s="417"/>
      <c r="L79" s="417"/>
      <c r="M79" s="417"/>
      <c r="N79" s="417"/>
      <c r="O79" s="417"/>
      <c r="P79" s="417"/>
      <c r="Q79" s="417"/>
      <c r="R79" s="417"/>
      <c r="S79" s="417"/>
      <c r="T79" s="417"/>
      <c r="U79" s="417"/>
      <c r="V79" s="417"/>
      <c r="W79" s="417"/>
      <c r="X79" s="417"/>
      <c r="Y79" s="417"/>
      <c r="Z79" s="417"/>
    </row>
    <row r="80" spans="1:26" ht="15.75">
      <c r="A80" s="417"/>
      <c r="B80" s="417"/>
      <c r="C80" s="417"/>
      <c r="D80" s="417"/>
      <c r="E80" s="417"/>
      <c r="F80" s="417"/>
      <c r="G80" s="417"/>
      <c r="H80" s="417"/>
      <c r="I80" s="417"/>
      <c r="J80" s="417"/>
      <c r="K80" s="417"/>
      <c r="L80" s="417"/>
      <c r="M80" s="417"/>
      <c r="N80" s="417"/>
      <c r="O80" s="417"/>
      <c r="P80" s="417"/>
      <c r="Q80" s="417"/>
      <c r="R80" s="417"/>
      <c r="S80" s="417"/>
      <c r="T80" s="417"/>
      <c r="U80" s="417"/>
      <c r="V80" s="417"/>
      <c r="W80" s="417"/>
      <c r="X80" s="417"/>
      <c r="Y80" s="417"/>
      <c r="Z80" s="417"/>
    </row>
    <row r="81" spans="1:26" ht="15.75">
      <c r="A81" s="417"/>
      <c r="B81" s="417"/>
      <c r="C81" s="417"/>
      <c r="D81" s="417"/>
      <c r="E81" s="417"/>
      <c r="F81" s="417"/>
      <c r="G81" s="417"/>
      <c r="H81" s="417"/>
      <c r="I81" s="417"/>
      <c r="J81" s="417"/>
      <c r="K81" s="417"/>
      <c r="L81" s="417"/>
      <c r="M81" s="417"/>
      <c r="N81" s="417"/>
      <c r="O81" s="417"/>
      <c r="P81" s="417"/>
      <c r="Q81" s="417"/>
      <c r="R81" s="417"/>
      <c r="S81" s="417"/>
      <c r="T81" s="417"/>
      <c r="U81" s="417"/>
      <c r="V81" s="417"/>
      <c r="W81" s="417"/>
      <c r="X81" s="417"/>
      <c r="Y81" s="417"/>
      <c r="Z81" s="417"/>
    </row>
    <row r="82" spans="1:26" ht="15.75">
      <c r="A82" s="417"/>
      <c r="B82" s="417"/>
      <c r="C82" s="417"/>
      <c r="D82" s="417"/>
      <c r="E82" s="417"/>
      <c r="F82" s="417"/>
      <c r="G82" s="417"/>
      <c r="H82" s="417"/>
      <c r="I82" s="417"/>
      <c r="J82" s="417"/>
      <c r="K82" s="417"/>
      <c r="L82" s="417"/>
      <c r="M82" s="417"/>
      <c r="N82" s="417"/>
      <c r="O82" s="417"/>
      <c r="P82" s="417"/>
      <c r="Q82" s="417"/>
      <c r="R82" s="417"/>
      <c r="S82" s="417"/>
      <c r="T82" s="417"/>
      <c r="U82" s="417"/>
      <c r="V82" s="417"/>
      <c r="W82" s="417"/>
      <c r="X82" s="417"/>
      <c r="Y82" s="417"/>
      <c r="Z82" s="417"/>
    </row>
    <row r="83" spans="1:26" ht="15.75">
      <c r="A83" s="417"/>
      <c r="B83" s="417"/>
      <c r="C83" s="417"/>
      <c r="D83" s="417"/>
      <c r="E83" s="417"/>
      <c r="F83" s="417"/>
      <c r="G83" s="417"/>
      <c r="H83" s="417"/>
      <c r="I83" s="417"/>
      <c r="J83" s="417"/>
      <c r="K83" s="417"/>
      <c r="L83" s="417"/>
      <c r="M83" s="417"/>
      <c r="N83" s="417"/>
      <c r="O83" s="417"/>
      <c r="P83" s="417"/>
      <c r="Q83" s="417"/>
      <c r="R83" s="417"/>
      <c r="S83" s="417"/>
      <c r="T83" s="417"/>
      <c r="U83" s="417"/>
      <c r="V83" s="417"/>
      <c r="W83" s="417"/>
      <c r="X83" s="417"/>
      <c r="Y83" s="417"/>
      <c r="Z83" s="417"/>
    </row>
    <row r="84" spans="1:26" ht="15.75">
      <c r="A84" s="417"/>
      <c r="B84" s="417"/>
      <c r="C84" s="417"/>
      <c r="D84" s="417"/>
      <c r="E84" s="417"/>
      <c r="F84" s="417"/>
      <c r="G84" s="417"/>
      <c r="H84" s="417"/>
      <c r="I84" s="417"/>
      <c r="J84" s="417"/>
      <c r="K84" s="417"/>
      <c r="L84" s="417"/>
      <c r="M84" s="417"/>
      <c r="N84" s="417"/>
      <c r="O84" s="417"/>
      <c r="P84" s="417"/>
      <c r="Q84" s="417"/>
      <c r="R84" s="417"/>
      <c r="S84" s="417"/>
      <c r="T84" s="417"/>
      <c r="U84" s="417"/>
      <c r="V84" s="417"/>
      <c r="W84" s="417"/>
      <c r="X84" s="417"/>
      <c r="Y84" s="417"/>
      <c r="Z84" s="417"/>
    </row>
    <row r="85" spans="1:26" ht="15.75">
      <c r="A85" s="417"/>
      <c r="B85" s="417"/>
      <c r="C85" s="417"/>
      <c r="D85" s="417"/>
      <c r="E85" s="417"/>
      <c r="F85" s="417"/>
      <c r="G85" s="417"/>
      <c r="H85" s="417"/>
      <c r="I85" s="417"/>
      <c r="J85" s="417"/>
      <c r="K85" s="417"/>
      <c r="L85" s="417"/>
      <c r="M85" s="417"/>
      <c r="N85" s="417"/>
      <c r="O85" s="417"/>
      <c r="P85" s="417"/>
      <c r="Q85" s="417"/>
      <c r="R85" s="417"/>
      <c r="S85" s="417"/>
      <c r="T85" s="417"/>
      <c r="U85" s="417"/>
      <c r="V85" s="417"/>
      <c r="W85" s="417"/>
      <c r="X85" s="417"/>
      <c r="Y85" s="417"/>
      <c r="Z85" s="417"/>
    </row>
    <row r="86" spans="1:26" ht="15.75">
      <c r="A86" s="417"/>
      <c r="B86" s="417"/>
      <c r="C86" s="417"/>
      <c r="D86" s="417"/>
      <c r="E86" s="417"/>
      <c r="F86" s="417"/>
      <c r="G86" s="417"/>
      <c r="H86" s="417"/>
      <c r="I86" s="417"/>
      <c r="J86" s="417"/>
      <c r="K86" s="417"/>
      <c r="L86" s="417"/>
      <c r="M86" s="417"/>
      <c r="N86" s="417"/>
      <c r="O86" s="417"/>
      <c r="P86" s="417"/>
      <c r="Q86" s="417"/>
      <c r="R86" s="417"/>
      <c r="S86" s="417"/>
      <c r="T86" s="417"/>
      <c r="U86" s="417"/>
      <c r="V86" s="417"/>
      <c r="W86" s="417"/>
      <c r="X86" s="417"/>
      <c r="Y86" s="417"/>
      <c r="Z86" s="417"/>
    </row>
    <row r="87" spans="1:26" ht="15.75">
      <c r="A87" s="417"/>
      <c r="B87" s="417"/>
      <c r="C87" s="417"/>
      <c r="D87" s="417"/>
      <c r="E87" s="417"/>
      <c r="F87" s="417"/>
      <c r="G87" s="417"/>
      <c r="H87" s="417"/>
      <c r="I87" s="417"/>
      <c r="J87" s="417"/>
      <c r="K87" s="417"/>
      <c r="L87" s="417"/>
      <c r="M87" s="417"/>
      <c r="N87" s="417"/>
      <c r="O87" s="417"/>
      <c r="P87" s="417"/>
      <c r="Q87" s="417"/>
      <c r="R87" s="417"/>
      <c r="S87" s="417"/>
      <c r="T87" s="417"/>
      <c r="U87" s="417"/>
      <c r="V87" s="417"/>
      <c r="W87" s="417"/>
      <c r="X87" s="417"/>
      <c r="Y87" s="417"/>
      <c r="Z87" s="417"/>
    </row>
    <row r="88" spans="1:26" ht="15.75">
      <c r="A88" s="417"/>
      <c r="B88" s="417"/>
      <c r="C88" s="417"/>
      <c r="D88" s="417"/>
      <c r="E88" s="417"/>
      <c r="F88" s="417"/>
      <c r="G88" s="417"/>
      <c r="H88" s="417"/>
      <c r="I88" s="417"/>
      <c r="J88" s="417"/>
      <c r="K88" s="417"/>
      <c r="L88" s="417"/>
      <c r="M88" s="417"/>
      <c r="N88" s="417"/>
      <c r="O88" s="417"/>
      <c r="P88" s="417"/>
      <c r="Q88" s="417"/>
      <c r="R88" s="417"/>
      <c r="S88" s="417"/>
      <c r="T88" s="417"/>
      <c r="U88" s="417"/>
      <c r="V88" s="417"/>
      <c r="W88" s="417"/>
      <c r="X88" s="417"/>
      <c r="Y88" s="417"/>
      <c r="Z88" s="417"/>
    </row>
    <row r="89" spans="1:26" ht="15.75">
      <c r="A89" s="417"/>
      <c r="B89" s="417"/>
      <c r="C89" s="417"/>
      <c r="D89" s="417"/>
      <c r="E89" s="417"/>
      <c r="F89" s="417"/>
      <c r="G89" s="417"/>
      <c r="H89" s="417"/>
      <c r="I89" s="417"/>
      <c r="J89" s="417"/>
      <c r="K89" s="417"/>
      <c r="L89" s="417"/>
      <c r="M89" s="417"/>
      <c r="N89" s="417"/>
      <c r="O89" s="417"/>
      <c r="P89" s="417"/>
      <c r="Q89" s="417"/>
      <c r="R89" s="417"/>
      <c r="S89" s="417"/>
      <c r="T89" s="417"/>
      <c r="U89" s="417"/>
      <c r="V89" s="417"/>
      <c r="W89" s="417"/>
      <c r="X89" s="417"/>
      <c r="Y89" s="417"/>
      <c r="Z89" s="417"/>
    </row>
    <row r="90" spans="1:26" ht="15.75">
      <c r="A90" s="417"/>
      <c r="B90" s="417"/>
      <c r="C90" s="417"/>
      <c r="D90" s="417"/>
      <c r="E90" s="417"/>
      <c r="F90" s="417"/>
      <c r="G90" s="417"/>
      <c r="H90" s="417"/>
      <c r="I90" s="417"/>
      <c r="J90" s="417"/>
      <c r="K90" s="417"/>
      <c r="L90" s="417"/>
      <c r="M90" s="417"/>
      <c r="N90" s="417"/>
      <c r="O90" s="417"/>
      <c r="P90" s="417"/>
      <c r="Q90" s="417"/>
      <c r="R90" s="417"/>
      <c r="S90" s="417"/>
      <c r="T90" s="417"/>
      <c r="U90" s="417"/>
      <c r="V90" s="417"/>
      <c r="W90" s="417"/>
      <c r="X90" s="417"/>
      <c r="Y90" s="417"/>
      <c r="Z90" s="417"/>
    </row>
    <row r="91" spans="1:26" ht="15.75">
      <c r="A91" s="417"/>
      <c r="B91" s="417"/>
      <c r="C91" s="417"/>
      <c r="D91" s="417"/>
      <c r="E91" s="417"/>
      <c r="F91" s="417"/>
      <c r="G91" s="417"/>
      <c r="H91" s="417"/>
      <c r="I91" s="417"/>
      <c r="J91" s="417"/>
      <c r="K91" s="417"/>
      <c r="L91" s="417"/>
      <c r="M91" s="417"/>
      <c r="N91" s="417"/>
      <c r="O91" s="417"/>
      <c r="P91" s="417"/>
      <c r="Q91" s="417"/>
      <c r="R91" s="417"/>
      <c r="S91" s="417"/>
      <c r="T91" s="417"/>
      <c r="U91" s="417"/>
      <c r="V91" s="417"/>
      <c r="W91" s="417"/>
      <c r="X91" s="417"/>
      <c r="Y91" s="417"/>
      <c r="Z91" s="417"/>
    </row>
    <row r="92" spans="1:26" ht="15.75">
      <c r="A92" s="417"/>
      <c r="B92" s="417"/>
      <c r="C92" s="417"/>
      <c r="D92" s="417"/>
      <c r="E92" s="417"/>
      <c r="F92" s="417"/>
      <c r="G92" s="417"/>
      <c r="H92" s="417"/>
      <c r="I92" s="417"/>
      <c r="J92" s="417"/>
      <c r="K92" s="417"/>
      <c r="L92" s="417"/>
      <c r="M92" s="417"/>
      <c r="N92" s="417"/>
      <c r="O92" s="417"/>
      <c r="P92" s="417"/>
      <c r="Q92" s="417"/>
      <c r="R92" s="417"/>
      <c r="S92" s="417"/>
      <c r="T92" s="417"/>
      <c r="U92" s="417"/>
      <c r="V92" s="417"/>
      <c r="W92" s="417"/>
      <c r="X92" s="417"/>
      <c r="Y92" s="417"/>
      <c r="Z92" s="417"/>
    </row>
    <row r="93" spans="1:26" ht="15.75">
      <c r="A93" s="417"/>
      <c r="B93" s="417"/>
      <c r="C93" s="417"/>
      <c r="D93" s="417"/>
      <c r="E93" s="417"/>
      <c r="F93" s="417"/>
      <c r="G93" s="417"/>
      <c r="H93" s="417"/>
      <c r="I93" s="417"/>
      <c r="J93" s="417"/>
      <c r="K93" s="417"/>
      <c r="L93" s="417"/>
      <c r="M93" s="417"/>
      <c r="N93" s="417"/>
      <c r="O93" s="417"/>
      <c r="P93" s="417"/>
      <c r="Q93" s="417"/>
      <c r="R93" s="417"/>
      <c r="S93" s="417"/>
      <c r="T93" s="417"/>
      <c r="U93" s="417"/>
      <c r="V93" s="417"/>
      <c r="W93" s="417"/>
      <c r="X93" s="417"/>
      <c r="Y93" s="417"/>
      <c r="Z93" s="417"/>
    </row>
    <row r="94" spans="1:26" ht="15.75">
      <c r="A94" s="417"/>
      <c r="B94" s="417"/>
      <c r="C94" s="417"/>
      <c r="D94" s="417"/>
      <c r="E94" s="417"/>
      <c r="F94" s="417"/>
      <c r="G94" s="417"/>
      <c r="H94" s="417"/>
      <c r="I94" s="417"/>
      <c r="J94" s="417"/>
      <c r="K94" s="417"/>
      <c r="L94" s="417"/>
      <c r="M94" s="417"/>
      <c r="N94" s="417"/>
      <c r="O94" s="417"/>
      <c r="P94" s="417"/>
      <c r="Q94" s="417"/>
      <c r="R94" s="417"/>
      <c r="S94" s="417"/>
      <c r="T94" s="417"/>
      <c r="U94" s="417"/>
      <c r="V94" s="417"/>
      <c r="W94" s="417"/>
      <c r="X94" s="417"/>
      <c r="Y94" s="417"/>
      <c r="Z94" s="417"/>
    </row>
    <row r="95" spans="1:26" ht="15.75">
      <c r="A95" s="417"/>
      <c r="B95" s="417"/>
      <c r="C95" s="417"/>
      <c r="D95" s="417"/>
      <c r="E95" s="417"/>
      <c r="F95" s="417"/>
      <c r="G95" s="417"/>
      <c r="H95" s="417"/>
      <c r="I95" s="417"/>
      <c r="J95" s="417"/>
      <c r="K95" s="417"/>
      <c r="L95" s="417"/>
      <c r="M95" s="417"/>
      <c r="N95" s="417"/>
      <c r="O95" s="417"/>
      <c r="P95" s="417"/>
      <c r="Q95" s="417"/>
      <c r="R95" s="417"/>
      <c r="S95" s="417"/>
      <c r="T95" s="417"/>
      <c r="U95" s="417"/>
      <c r="V95" s="417"/>
      <c r="W95" s="417"/>
      <c r="X95" s="417"/>
      <c r="Y95" s="417"/>
      <c r="Z95" s="417"/>
    </row>
    <row r="96" spans="1:26" ht="15.75">
      <c r="A96" s="417"/>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row>
    <row r="97" spans="1:26" ht="15.75">
      <c r="A97" s="417"/>
      <c r="B97" s="417"/>
      <c r="C97" s="417"/>
      <c r="D97" s="417"/>
      <c r="E97" s="417"/>
      <c r="F97" s="417"/>
      <c r="G97" s="417"/>
      <c r="H97" s="417"/>
      <c r="I97" s="417"/>
      <c r="J97" s="417"/>
      <c r="K97" s="417"/>
      <c r="L97" s="417"/>
      <c r="M97" s="417"/>
      <c r="N97" s="417"/>
      <c r="O97" s="417"/>
      <c r="P97" s="417"/>
      <c r="Q97" s="417"/>
      <c r="R97" s="417"/>
      <c r="S97" s="417"/>
      <c r="T97" s="417"/>
      <c r="U97" s="417"/>
      <c r="V97" s="417"/>
      <c r="W97" s="417"/>
      <c r="X97" s="417"/>
      <c r="Y97" s="417"/>
      <c r="Z97" s="417"/>
    </row>
    <row r="98" spans="1:26" ht="15.75">
      <c r="A98" s="417"/>
      <c r="B98" s="417"/>
      <c r="C98" s="417"/>
      <c r="D98" s="417"/>
      <c r="E98" s="417"/>
      <c r="F98" s="417"/>
      <c r="G98" s="417"/>
      <c r="H98" s="417"/>
      <c r="I98" s="417"/>
      <c r="J98" s="417"/>
      <c r="K98" s="417"/>
      <c r="L98" s="417"/>
      <c r="M98" s="417"/>
      <c r="N98" s="417"/>
      <c r="O98" s="417"/>
      <c r="P98" s="417"/>
      <c r="Q98" s="417"/>
      <c r="R98" s="417"/>
      <c r="S98" s="417"/>
      <c r="T98" s="417"/>
      <c r="U98" s="417"/>
      <c r="V98" s="417"/>
      <c r="W98" s="417"/>
      <c r="X98" s="417"/>
      <c r="Y98" s="417"/>
      <c r="Z98" s="417"/>
    </row>
    <row r="99" spans="1:26" ht="15.75">
      <c r="A99" s="417"/>
      <c r="B99" s="417"/>
      <c r="C99" s="417"/>
      <c r="D99" s="417"/>
      <c r="E99" s="417"/>
      <c r="F99" s="417"/>
      <c r="G99" s="417"/>
      <c r="H99" s="417"/>
      <c r="I99" s="417"/>
      <c r="J99" s="417"/>
      <c r="K99" s="417"/>
      <c r="L99" s="417"/>
      <c r="M99" s="417"/>
      <c r="N99" s="417"/>
      <c r="O99" s="417"/>
      <c r="P99" s="417"/>
      <c r="Q99" s="417"/>
      <c r="R99" s="417"/>
      <c r="S99" s="417"/>
      <c r="T99" s="417"/>
      <c r="U99" s="417"/>
      <c r="V99" s="417"/>
      <c r="W99" s="417"/>
      <c r="X99" s="417"/>
      <c r="Y99" s="417"/>
      <c r="Z99" s="417"/>
    </row>
    <row r="100" spans="1:26" ht="15.75">
      <c r="A100" s="417"/>
      <c r="B100" s="417"/>
      <c r="C100" s="417"/>
      <c r="D100" s="417"/>
      <c r="E100" s="417"/>
      <c r="F100" s="417"/>
      <c r="G100" s="417"/>
      <c r="H100" s="417"/>
      <c r="I100" s="417"/>
      <c r="J100" s="417"/>
      <c r="K100" s="417"/>
      <c r="L100" s="417"/>
      <c r="M100" s="417"/>
      <c r="N100" s="417"/>
      <c r="O100" s="417"/>
      <c r="P100" s="417"/>
      <c r="Q100" s="417"/>
      <c r="R100" s="417"/>
      <c r="S100" s="417"/>
      <c r="T100" s="417"/>
      <c r="U100" s="417"/>
      <c r="V100" s="417"/>
      <c r="W100" s="417"/>
      <c r="X100" s="417"/>
      <c r="Y100" s="417"/>
      <c r="Z100" s="417"/>
    </row>
    <row r="101" spans="1:26" ht="15.75">
      <c r="A101" s="417"/>
      <c r="B101" s="417"/>
      <c r="C101" s="417"/>
      <c r="D101" s="417"/>
      <c r="E101" s="417"/>
      <c r="F101" s="417"/>
      <c r="G101" s="417"/>
      <c r="H101" s="417"/>
      <c r="I101" s="417"/>
      <c r="J101" s="417"/>
      <c r="K101" s="417"/>
      <c r="L101" s="417"/>
      <c r="M101" s="417"/>
      <c r="N101" s="417"/>
      <c r="O101" s="417"/>
      <c r="P101" s="417"/>
      <c r="Q101" s="417"/>
      <c r="R101" s="417"/>
      <c r="S101" s="417"/>
      <c r="T101" s="417"/>
      <c r="U101" s="417"/>
      <c r="V101" s="417"/>
      <c r="W101" s="417"/>
      <c r="X101" s="417"/>
      <c r="Y101" s="417"/>
      <c r="Z101" s="417"/>
    </row>
    <row r="102" spans="1:26" ht="15.75">
      <c r="A102" s="417"/>
      <c r="B102" s="417"/>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7"/>
      <c r="Y102" s="417"/>
      <c r="Z102" s="417"/>
    </row>
    <row r="103" spans="1:26" ht="15.75">
      <c r="A103" s="417"/>
      <c r="B103" s="417"/>
      <c r="C103" s="417"/>
      <c r="D103" s="417"/>
      <c r="E103" s="417"/>
      <c r="F103" s="417"/>
      <c r="G103" s="417"/>
      <c r="H103" s="417"/>
      <c r="I103" s="417"/>
      <c r="J103" s="417"/>
      <c r="K103" s="417"/>
      <c r="L103" s="417"/>
      <c r="M103" s="417"/>
      <c r="N103" s="417"/>
      <c r="O103" s="417"/>
      <c r="P103" s="417"/>
      <c r="Q103" s="417"/>
      <c r="R103" s="417"/>
      <c r="S103" s="417"/>
      <c r="T103" s="417"/>
      <c r="U103" s="417"/>
      <c r="V103" s="417"/>
      <c r="W103" s="417"/>
      <c r="X103" s="417"/>
      <c r="Y103" s="417"/>
      <c r="Z103" s="417"/>
    </row>
    <row r="104" spans="1:26" ht="15.75">
      <c r="A104" s="417"/>
      <c r="B104" s="417"/>
      <c r="C104" s="417"/>
      <c r="D104" s="417"/>
      <c r="E104" s="417"/>
      <c r="F104" s="417"/>
      <c r="G104" s="417"/>
      <c r="H104" s="417"/>
      <c r="I104" s="417"/>
      <c r="J104" s="417"/>
      <c r="K104" s="417"/>
      <c r="L104" s="417"/>
      <c r="M104" s="417"/>
      <c r="N104" s="417"/>
      <c r="O104" s="417"/>
      <c r="P104" s="417"/>
      <c r="Q104" s="417"/>
      <c r="R104" s="417"/>
      <c r="S104" s="417"/>
      <c r="T104" s="417"/>
      <c r="U104" s="417"/>
      <c r="V104" s="417"/>
      <c r="W104" s="417"/>
      <c r="X104" s="417"/>
      <c r="Y104" s="417"/>
      <c r="Z104" s="417"/>
    </row>
    <row r="105" spans="1:26" ht="15.75">
      <c r="A105" s="417"/>
      <c r="B105" s="417"/>
      <c r="C105" s="417"/>
      <c r="D105" s="417"/>
      <c r="E105" s="417"/>
      <c r="F105" s="417"/>
      <c r="G105" s="417"/>
      <c r="H105" s="417"/>
      <c r="I105" s="417"/>
      <c r="J105" s="417"/>
      <c r="K105" s="417"/>
      <c r="L105" s="417"/>
      <c r="M105" s="417"/>
      <c r="N105" s="417"/>
      <c r="O105" s="417"/>
      <c r="P105" s="417"/>
      <c r="Q105" s="417"/>
      <c r="R105" s="417"/>
      <c r="S105" s="417"/>
      <c r="T105" s="417"/>
      <c r="U105" s="417"/>
      <c r="V105" s="417"/>
      <c r="W105" s="417"/>
      <c r="X105" s="417"/>
      <c r="Y105" s="417"/>
      <c r="Z105" s="417"/>
    </row>
    <row r="106" spans="1:26" ht="15.75">
      <c r="A106" s="417"/>
      <c r="B106" s="417"/>
      <c r="C106" s="417"/>
      <c r="D106" s="417"/>
      <c r="E106" s="417"/>
      <c r="F106" s="417"/>
      <c r="G106" s="417"/>
      <c r="H106" s="417"/>
      <c r="I106" s="417"/>
      <c r="J106" s="417"/>
      <c r="K106" s="417"/>
      <c r="L106" s="417"/>
      <c r="M106" s="417"/>
      <c r="N106" s="417"/>
      <c r="O106" s="417"/>
      <c r="P106" s="417"/>
      <c r="Q106" s="417"/>
      <c r="R106" s="417"/>
      <c r="S106" s="417"/>
      <c r="T106" s="417"/>
      <c r="U106" s="417"/>
      <c r="V106" s="417"/>
      <c r="W106" s="417"/>
      <c r="X106" s="417"/>
      <c r="Y106" s="417"/>
      <c r="Z106" s="417"/>
    </row>
    <row r="107" spans="1:26" ht="15.75">
      <c r="A107" s="417"/>
      <c r="B107" s="417"/>
      <c r="C107" s="417"/>
      <c r="D107" s="417"/>
      <c r="E107" s="417"/>
      <c r="F107" s="417"/>
      <c r="G107" s="417"/>
      <c r="H107" s="417"/>
      <c r="I107" s="417"/>
      <c r="J107" s="417"/>
      <c r="K107" s="417"/>
      <c r="L107" s="417"/>
      <c r="M107" s="417"/>
      <c r="N107" s="417"/>
      <c r="O107" s="417"/>
      <c r="P107" s="417"/>
      <c r="Q107" s="417"/>
      <c r="R107" s="417"/>
      <c r="S107" s="417"/>
      <c r="T107" s="417"/>
      <c r="U107" s="417"/>
      <c r="V107" s="417"/>
      <c r="W107" s="417"/>
      <c r="X107" s="417"/>
      <c r="Y107" s="417"/>
      <c r="Z107" s="417"/>
    </row>
    <row r="108" spans="1:26" ht="15.75">
      <c r="A108" s="417"/>
      <c r="B108" s="417"/>
      <c r="C108" s="417"/>
      <c r="D108" s="417"/>
      <c r="E108" s="417"/>
      <c r="F108" s="417"/>
      <c r="G108" s="417"/>
      <c r="H108" s="417"/>
      <c r="I108" s="417"/>
      <c r="J108" s="417"/>
      <c r="K108" s="417"/>
      <c r="L108" s="417"/>
      <c r="M108" s="417"/>
      <c r="N108" s="417"/>
      <c r="O108" s="417"/>
      <c r="P108" s="417"/>
      <c r="Q108" s="417"/>
      <c r="R108" s="417"/>
      <c r="S108" s="417"/>
      <c r="T108" s="417"/>
      <c r="U108" s="417"/>
      <c r="V108" s="417"/>
      <c r="W108" s="417"/>
      <c r="X108" s="417"/>
      <c r="Y108" s="417"/>
      <c r="Z108" s="417"/>
    </row>
    <row r="109" spans="1:26" ht="15.75">
      <c r="A109" s="417"/>
      <c r="B109" s="417"/>
      <c r="C109" s="417"/>
      <c r="D109" s="417"/>
      <c r="E109" s="417"/>
      <c r="F109" s="417"/>
      <c r="G109" s="417"/>
      <c r="H109" s="417"/>
      <c r="I109" s="417"/>
      <c r="J109" s="417"/>
      <c r="K109" s="417"/>
      <c r="L109" s="417"/>
      <c r="M109" s="417"/>
      <c r="N109" s="417"/>
      <c r="O109" s="417"/>
      <c r="P109" s="417"/>
      <c r="Q109" s="417"/>
      <c r="R109" s="417"/>
      <c r="S109" s="417"/>
      <c r="T109" s="417"/>
      <c r="U109" s="417"/>
      <c r="V109" s="417"/>
      <c r="W109" s="417"/>
      <c r="X109" s="417"/>
      <c r="Y109" s="417"/>
      <c r="Z109" s="417"/>
    </row>
    <row r="110" spans="1:26" ht="15.75">
      <c r="A110" s="417"/>
      <c r="B110" s="417"/>
      <c r="C110" s="417"/>
      <c r="D110" s="417"/>
      <c r="E110" s="417"/>
      <c r="F110" s="417"/>
      <c r="G110" s="417"/>
      <c r="H110" s="417"/>
      <c r="I110" s="417"/>
      <c r="J110" s="417"/>
      <c r="K110" s="417"/>
      <c r="L110" s="417"/>
      <c r="M110" s="417"/>
      <c r="N110" s="417"/>
      <c r="O110" s="417"/>
      <c r="P110" s="417"/>
      <c r="Q110" s="417"/>
      <c r="R110" s="417"/>
      <c r="S110" s="417"/>
      <c r="T110" s="417"/>
      <c r="U110" s="417"/>
      <c r="V110" s="417"/>
      <c r="W110" s="417"/>
      <c r="X110" s="417"/>
      <c r="Y110" s="417"/>
      <c r="Z110" s="417"/>
    </row>
    <row r="111" spans="1:26" ht="15.75">
      <c r="A111" s="417"/>
      <c r="B111" s="417"/>
      <c r="C111" s="417"/>
      <c r="D111" s="417"/>
      <c r="E111" s="417"/>
      <c r="F111" s="417"/>
      <c r="G111" s="417"/>
      <c r="H111" s="417"/>
      <c r="I111" s="417"/>
      <c r="J111" s="417"/>
      <c r="K111" s="417"/>
      <c r="L111" s="417"/>
      <c r="M111" s="417"/>
      <c r="N111" s="417"/>
      <c r="O111" s="417"/>
      <c r="P111" s="417"/>
      <c r="Q111" s="417"/>
      <c r="R111" s="417"/>
      <c r="S111" s="417"/>
      <c r="T111" s="417"/>
      <c r="U111" s="417"/>
      <c r="V111" s="417"/>
      <c r="W111" s="417"/>
      <c r="X111" s="417"/>
      <c r="Y111" s="417"/>
      <c r="Z111" s="417"/>
    </row>
    <row r="112" spans="1:26" ht="15.75">
      <c r="A112" s="417"/>
      <c r="B112" s="417"/>
      <c r="C112" s="417"/>
      <c r="D112" s="417"/>
      <c r="E112" s="417"/>
      <c r="F112" s="417"/>
      <c r="G112" s="417"/>
      <c r="H112" s="417"/>
      <c r="I112" s="417"/>
      <c r="J112" s="417"/>
      <c r="K112" s="417"/>
      <c r="L112" s="417"/>
      <c r="M112" s="417"/>
      <c r="N112" s="417"/>
      <c r="O112" s="417"/>
      <c r="P112" s="417"/>
      <c r="Q112" s="417"/>
      <c r="R112" s="417"/>
      <c r="S112" s="417"/>
      <c r="T112" s="417"/>
      <c r="U112" s="417"/>
      <c r="V112" s="417"/>
      <c r="W112" s="417"/>
      <c r="X112" s="417"/>
      <c r="Y112" s="417"/>
      <c r="Z112" s="417"/>
    </row>
    <row r="113" spans="1:26" ht="15.75">
      <c r="A113" s="417"/>
      <c r="B113" s="417"/>
      <c r="C113" s="417"/>
      <c r="D113" s="417"/>
      <c r="E113" s="417"/>
      <c r="F113" s="417"/>
      <c r="G113" s="417"/>
      <c r="H113" s="417"/>
      <c r="I113" s="417"/>
      <c r="J113" s="417"/>
      <c r="K113" s="417"/>
      <c r="L113" s="417"/>
      <c r="M113" s="417"/>
      <c r="N113" s="417"/>
      <c r="O113" s="417"/>
      <c r="P113" s="417"/>
      <c r="Q113" s="417"/>
      <c r="R113" s="417"/>
      <c r="S113" s="417"/>
      <c r="T113" s="417"/>
      <c r="U113" s="417"/>
      <c r="V113" s="417"/>
      <c r="W113" s="417"/>
      <c r="X113" s="417"/>
      <c r="Y113" s="417"/>
      <c r="Z113" s="417"/>
    </row>
    <row r="114" spans="1:26" ht="15.75">
      <c r="A114" s="417"/>
      <c r="B114" s="417"/>
      <c r="C114" s="417"/>
      <c r="D114" s="417"/>
      <c r="E114" s="417"/>
      <c r="F114" s="417"/>
      <c r="G114" s="417"/>
      <c r="H114" s="417"/>
      <c r="I114" s="417"/>
      <c r="J114" s="417"/>
      <c r="K114" s="417"/>
      <c r="L114" s="417"/>
      <c r="M114" s="417"/>
      <c r="N114" s="417"/>
      <c r="O114" s="417"/>
      <c r="P114" s="417"/>
      <c r="Q114" s="417"/>
      <c r="R114" s="417"/>
      <c r="S114" s="417"/>
      <c r="T114" s="417"/>
      <c r="U114" s="417"/>
      <c r="V114" s="417"/>
      <c r="W114" s="417"/>
      <c r="X114" s="417"/>
      <c r="Y114" s="417"/>
      <c r="Z114" s="417"/>
    </row>
    <row r="115" spans="1:26" ht="15.75">
      <c r="A115" s="417"/>
      <c r="B115" s="417"/>
      <c r="C115" s="417"/>
      <c r="D115" s="417"/>
      <c r="E115" s="417"/>
      <c r="F115" s="417"/>
      <c r="G115" s="417"/>
      <c r="H115" s="417"/>
      <c r="I115" s="417"/>
      <c r="J115" s="417"/>
      <c r="K115" s="417"/>
      <c r="L115" s="417"/>
      <c r="M115" s="417"/>
      <c r="N115" s="417"/>
      <c r="O115" s="417"/>
      <c r="P115" s="417"/>
      <c r="Q115" s="417"/>
      <c r="R115" s="417"/>
      <c r="S115" s="417"/>
      <c r="T115" s="417"/>
      <c r="U115" s="417"/>
      <c r="V115" s="417"/>
      <c r="W115" s="417"/>
      <c r="X115" s="417"/>
      <c r="Y115" s="417"/>
      <c r="Z115" s="417"/>
    </row>
    <row r="116" spans="1:26" ht="15.75">
      <c r="A116" s="417"/>
      <c r="B116" s="417"/>
      <c r="C116" s="417"/>
      <c r="D116" s="417"/>
      <c r="E116" s="417"/>
      <c r="F116" s="417"/>
      <c r="G116" s="417"/>
      <c r="H116" s="417"/>
      <c r="I116" s="417"/>
      <c r="J116" s="417"/>
      <c r="K116" s="417"/>
      <c r="L116" s="417"/>
      <c r="M116" s="417"/>
      <c r="N116" s="417"/>
      <c r="O116" s="417"/>
      <c r="P116" s="417"/>
      <c r="Q116" s="417"/>
      <c r="R116" s="417"/>
      <c r="S116" s="417"/>
      <c r="T116" s="417"/>
      <c r="U116" s="417"/>
      <c r="V116" s="417"/>
      <c r="W116" s="417"/>
      <c r="X116" s="417"/>
      <c r="Y116" s="417"/>
      <c r="Z116" s="417"/>
    </row>
    <row r="117" spans="1:26" ht="15.75">
      <c r="A117" s="417"/>
      <c r="B117" s="417"/>
      <c r="C117" s="417"/>
      <c r="D117" s="417"/>
      <c r="E117" s="417"/>
      <c r="F117" s="417"/>
      <c r="G117" s="417"/>
      <c r="H117" s="417"/>
      <c r="I117" s="417"/>
      <c r="J117" s="417"/>
      <c r="K117" s="417"/>
      <c r="L117" s="417"/>
      <c r="M117" s="417"/>
      <c r="N117" s="417"/>
      <c r="O117" s="417"/>
      <c r="P117" s="417"/>
      <c r="Q117" s="417"/>
      <c r="R117" s="417"/>
      <c r="S117" s="417"/>
      <c r="T117" s="417"/>
      <c r="U117" s="417"/>
      <c r="V117" s="417"/>
      <c r="W117" s="417"/>
      <c r="X117" s="417"/>
      <c r="Y117" s="417"/>
      <c r="Z117" s="417"/>
    </row>
    <row r="118" spans="1:26" ht="15.75">
      <c r="A118" s="417"/>
      <c r="B118" s="417"/>
      <c r="C118" s="417"/>
      <c r="D118" s="417"/>
      <c r="E118" s="417"/>
      <c r="F118" s="417"/>
      <c r="G118" s="417"/>
      <c r="H118" s="417"/>
      <c r="I118" s="417"/>
      <c r="J118" s="417"/>
      <c r="K118" s="417"/>
      <c r="L118" s="417"/>
      <c r="M118" s="417"/>
      <c r="N118" s="417"/>
      <c r="O118" s="417"/>
      <c r="P118" s="417"/>
      <c r="Q118" s="417"/>
      <c r="R118" s="417"/>
      <c r="S118" s="417"/>
      <c r="T118" s="417"/>
      <c r="U118" s="417"/>
      <c r="V118" s="417"/>
      <c r="W118" s="417"/>
      <c r="X118" s="417"/>
      <c r="Y118" s="417"/>
      <c r="Z118" s="417"/>
    </row>
    <row r="119" spans="1:26" ht="15.75">
      <c r="A119" s="417"/>
      <c r="B119" s="417"/>
      <c r="C119" s="417"/>
      <c r="D119" s="417"/>
      <c r="E119" s="417"/>
      <c r="F119" s="417"/>
      <c r="G119" s="417"/>
      <c r="H119" s="417"/>
      <c r="I119" s="417"/>
      <c r="J119" s="417"/>
      <c r="K119" s="417"/>
      <c r="L119" s="417"/>
      <c r="M119" s="417"/>
      <c r="N119" s="417"/>
      <c r="O119" s="417"/>
      <c r="P119" s="417"/>
      <c r="Q119" s="417"/>
      <c r="R119" s="417"/>
      <c r="S119" s="417"/>
      <c r="T119" s="417"/>
      <c r="U119" s="417"/>
      <c r="V119" s="417"/>
      <c r="W119" s="417"/>
      <c r="X119" s="417"/>
      <c r="Y119" s="417"/>
      <c r="Z119" s="417"/>
    </row>
    <row r="120" spans="1:26" ht="15.75">
      <c r="A120" s="417"/>
      <c r="B120" s="417"/>
      <c r="C120" s="417"/>
      <c r="D120" s="417"/>
      <c r="E120" s="417"/>
      <c r="F120" s="417"/>
      <c r="G120" s="417"/>
      <c r="H120" s="417"/>
      <c r="I120" s="417"/>
      <c r="J120" s="417"/>
      <c r="K120" s="417"/>
      <c r="L120" s="417"/>
      <c r="M120" s="417"/>
      <c r="N120" s="417"/>
      <c r="O120" s="417"/>
      <c r="P120" s="417"/>
      <c r="Q120" s="417"/>
      <c r="R120" s="417"/>
      <c r="S120" s="417"/>
      <c r="T120" s="417"/>
      <c r="U120" s="417"/>
      <c r="V120" s="417"/>
      <c r="W120" s="417"/>
      <c r="X120" s="417"/>
      <c r="Y120" s="417"/>
      <c r="Z120" s="417"/>
    </row>
    <row r="121" spans="1:26" ht="15.75">
      <c r="A121" s="417"/>
      <c r="B121" s="417"/>
      <c r="C121" s="417"/>
      <c r="D121" s="417"/>
      <c r="E121" s="417"/>
      <c r="F121" s="417"/>
      <c r="G121" s="417"/>
      <c r="H121" s="417"/>
      <c r="I121" s="417"/>
      <c r="J121" s="417"/>
      <c r="K121" s="417"/>
      <c r="L121" s="417"/>
      <c r="M121" s="417"/>
      <c r="N121" s="417"/>
      <c r="O121" s="417"/>
      <c r="P121" s="417"/>
      <c r="Q121" s="417"/>
      <c r="R121" s="417"/>
      <c r="S121" s="417"/>
      <c r="T121" s="417"/>
      <c r="U121" s="417"/>
      <c r="V121" s="417"/>
      <c r="W121" s="417"/>
      <c r="X121" s="417"/>
      <c r="Y121" s="417"/>
      <c r="Z121" s="417"/>
    </row>
    <row r="122" spans="1:26" ht="15.75">
      <c r="A122" s="417"/>
      <c r="B122" s="417"/>
      <c r="C122" s="417"/>
      <c r="D122" s="417"/>
      <c r="E122" s="417"/>
      <c r="F122" s="417"/>
      <c r="G122" s="417"/>
      <c r="H122" s="417"/>
      <c r="I122" s="417"/>
      <c r="J122" s="417"/>
      <c r="K122" s="417"/>
      <c r="L122" s="417"/>
      <c r="M122" s="417"/>
      <c r="N122" s="417"/>
      <c r="O122" s="417"/>
      <c r="P122" s="417"/>
      <c r="Q122" s="417"/>
      <c r="R122" s="417"/>
      <c r="S122" s="417"/>
      <c r="T122" s="417"/>
      <c r="U122" s="417"/>
      <c r="V122" s="417"/>
      <c r="W122" s="417"/>
      <c r="X122" s="417"/>
      <c r="Y122" s="417"/>
      <c r="Z122" s="417"/>
    </row>
    <row r="123" spans="1:26" ht="15.75">
      <c r="A123" s="417"/>
      <c r="B123" s="417"/>
      <c r="C123" s="417"/>
      <c r="D123" s="417"/>
      <c r="E123" s="417"/>
      <c r="F123" s="417"/>
      <c r="G123" s="417"/>
      <c r="H123" s="417"/>
      <c r="I123" s="417"/>
      <c r="J123" s="417"/>
      <c r="K123" s="417"/>
      <c r="L123" s="417"/>
      <c r="M123" s="417"/>
      <c r="N123" s="417"/>
      <c r="O123" s="417"/>
      <c r="P123" s="417"/>
      <c r="Q123" s="417"/>
      <c r="R123" s="417"/>
      <c r="S123" s="417"/>
      <c r="T123" s="417"/>
      <c r="U123" s="417"/>
      <c r="V123" s="417"/>
      <c r="W123" s="417"/>
      <c r="X123" s="417"/>
      <c r="Y123" s="417"/>
      <c r="Z123" s="417"/>
    </row>
    <row r="124" spans="1:26" ht="15.75">
      <c r="A124" s="417"/>
      <c r="B124" s="417"/>
      <c r="C124" s="417"/>
      <c r="D124" s="417"/>
      <c r="E124" s="417"/>
      <c r="F124" s="417"/>
      <c r="G124" s="417"/>
      <c r="H124" s="417"/>
      <c r="I124" s="417"/>
      <c r="J124" s="417"/>
      <c r="K124" s="417"/>
      <c r="L124" s="417"/>
      <c r="M124" s="417"/>
      <c r="N124" s="417"/>
      <c r="O124" s="417"/>
      <c r="P124" s="417"/>
      <c r="Q124" s="417"/>
      <c r="R124" s="417"/>
      <c r="S124" s="417"/>
      <c r="T124" s="417"/>
      <c r="U124" s="417"/>
      <c r="V124" s="417"/>
      <c r="W124" s="417"/>
      <c r="X124" s="417"/>
      <c r="Y124" s="417"/>
      <c r="Z124" s="417"/>
    </row>
    <row r="125" spans="1:26" ht="15.75">
      <c r="A125" s="417"/>
      <c r="B125" s="417"/>
      <c r="C125" s="417"/>
      <c r="D125" s="417"/>
      <c r="E125" s="417"/>
      <c r="F125" s="417"/>
      <c r="G125" s="417"/>
      <c r="H125" s="417"/>
      <c r="I125" s="417"/>
      <c r="J125" s="417"/>
      <c r="K125" s="417"/>
      <c r="L125" s="417"/>
      <c r="M125" s="417"/>
      <c r="N125" s="417"/>
      <c r="O125" s="417"/>
      <c r="P125" s="417"/>
      <c r="Q125" s="417"/>
      <c r="R125" s="417"/>
      <c r="S125" s="417"/>
      <c r="T125" s="417"/>
      <c r="U125" s="417"/>
      <c r="V125" s="417"/>
      <c r="W125" s="417"/>
      <c r="X125" s="417"/>
      <c r="Y125" s="417"/>
      <c r="Z125" s="417"/>
    </row>
    <row r="126" spans="1:26" ht="15.75">
      <c r="A126" s="417"/>
      <c r="B126" s="417"/>
      <c r="C126" s="417"/>
      <c r="D126" s="417"/>
      <c r="E126" s="417"/>
      <c r="F126" s="417"/>
      <c r="G126" s="417"/>
      <c r="H126" s="417"/>
      <c r="I126" s="417"/>
      <c r="J126" s="417"/>
      <c r="K126" s="417"/>
      <c r="L126" s="417"/>
      <c r="M126" s="417"/>
      <c r="N126" s="417"/>
      <c r="O126" s="417"/>
      <c r="P126" s="417"/>
      <c r="Q126" s="417"/>
      <c r="R126" s="417"/>
      <c r="S126" s="417"/>
      <c r="T126" s="417"/>
      <c r="U126" s="417"/>
      <c r="V126" s="417"/>
      <c r="W126" s="417"/>
      <c r="X126" s="417"/>
      <c r="Y126" s="417"/>
      <c r="Z126" s="417"/>
    </row>
    <row r="127" spans="1:26" ht="15.75">
      <c r="A127" s="417"/>
      <c r="B127" s="417"/>
      <c r="C127" s="417"/>
      <c r="D127" s="417"/>
      <c r="E127" s="417"/>
      <c r="F127" s="417"/>
      <c r="G127" s="417"/>
      <c r="H127" s="417"/>
      <c r="I127" s="417"/>
      <c r="J127" s="417"/>
      <c r="K127" s="417"/>
      <c r="L127" s="417"/>
      <c r="M127" s="417"/>
      <c r="N127" s="417"/>
      <c r="O127" s="417"/>
      <c r="P127" s="417"/>
      <c r="Q127" s="417"/>
      <c r="R127" s="417"/>
      <c r="S127" s="417"/>
      <c r="T127" s="417"/>
      <c r="U127" s="417"/>
      <c r="V127" s="417"/>
      <c r="W127" s="417"/>
      <c r="X127" s="417"/>
      <c r="Y127" s="417"/>
      <c r="Z127" s="417"/>
    </row>
    <row r="128" spans="1:26" ht="15.75">
      <c r="A128" s="417"/>
      <c r="B128" s="417"/>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7"/>
      <c r="Y128" s="417"/>
      <c r="Z128" s="417"/>
    </row>
    <row r="129" spans="1:26" ht="15.75">
      <c r="A129" s="417"/>
      <c r="B129" s="417"/>
      <c r="C129" s="417"/>
      <c r="D129" s="417"/>
      <c r="E129" s="417"/>
      <c r="F129" s="417"/>
      <c r="G129" s="417"/>
      <c r="H129" s="417"/>
      <c r="I129" s="417"/>
      <c r="J129" s="417"/>
      <c r="K129" s="417"/>
      <c r="L129" s="417"/>
      <c r="M129" s="417"/>
      <c r="N129" s="417"/>
      <c r="O129" s="417"/>
      <c r="P129" s="417"/>
      <c r="Q129" s="417"/>
      <c r="R129" s="417"/>
      <c r="S129" s="417"/>
      <c r="T129" s="417"/>
      <c r="U129" s="417"/>
      <c r="V129" s="417"/>
      <c r="W129" s="417"/>
      <c r="X129" s="417"/>
      <c r="Y129" s="417"/>
      <c r="Z129" s="417"/>
    </row>
    <row r="130" spans="1:26" ht="15.75">
      <c r="A130" s="417"/>
      <c r="B130" s="417"/>
      <c r="C130" s="417"/>
      <c r="D130" s="417"/>
      <c r="E130" s="417"/>
      <c r="F130" s="417"/>
      <c r="G130" s="417"/>
      <c r="H130" s="417"/>
      <c r="I130" s="417"/>
      <c r="J130" s="417"/>
      <c r="K130" s="417"/>
      <c r="L130" s="417"/>
      <c r="M130" s="417"/>
      <c r="N130" s="417"/>
      <c r="O130" s="417"/>
      <c r="P130" s="417"/>
      <c r="Q130" s="417"/>
      <c r="R130" s="417"/>
      <c r="S130" s="417"/>
      <c r="T130" s="417"/>
      <c r="U130" s="417"/>
      <c r="V130" s="417"/>
      <c r="W130" s="417"/>
      <c r="X130" s="417"/>
      <c r="Y130" s="417"/>
      <c r="Z130" s="417"/>
    </row>
    <row r="131" spans="1:26" ht="15.75">
      <c r="A131" s="417"/>
      <c r="B131" s="417"/>
      <c r="C131" s="417"/>
      <c r="D131" s="417"/>
      <c r="E131" s="417"/>
      <c r="F131" s="417"/>
      <c r="G131" s="417"/>
      <c r="H131" s="417"/>
      <c r="I131" s="417"/>
      <c r="J131" s="417"/>
      <c r="K131" s="417"/>
      <c r="L131" s="417"/>
      <c r="M131" s="417"/>
      <c r="N131" s="417"/>
      <c r="O131" s="417"/>
      <c r="P131" s="417"/>
      <c r="Q131" s="417"/>
      <c r="R131" s="417"/>
      <c r="S131" s="417"/>
      <c r="T131" s="417"/>
      <c r="U131" s="417"/>
      <c r="V131" s="417"/>
      <c r="W131" s="417"/>
      <c r="X131" s="417"/>
      <c r="Y131" s="417"/>
      <c r="Z131" s="417"/>
    </row>
    <row r="132" spans="1:26" ht="15.75">
      <c r="A132" s="417"/>
      <c r="B132" s="417"/>
      <c r="C132" s="417"/>
      <c r="D132" s="417"/>
      <c r="E132" s="417"/>
      <c r="F132" s="417"/>
      <c r="G132" s="417"/>
      <c r="H132" s="417"/>
      <c r="I132" s="417"/>
      <c r="J132" s="417"/>
      <c r="K132" s="417"/>
      <c r="L132" s="417"/>
      <c r="M132" s="417"/>
      <c r="N132" s="417"/>
      <c r="O132" s="417"/>
      <c r="P132" s="417"/>
      <c r="Q132" s="417"/>
      <c r="R132" s="417"/>
      <c r="S132" s="417"/>
      <c r="T132" s="417"/>
      <c r="U132" s="417"/>
      <c r="V132" s="417"/>
      <c r="W132" s="417"/>
      <c r="X132" s="417"/>
      <c r="Y132" s="417"/>
      <c r="Z132" s="417"/>
    </row>
    <row r="133" spans="1:26" ht="15.75">
      <c r="A133" s="417"/>
      <c r="B133" s="417"/>
      <c r="C133" s="417"/>
      <c r="D133" s="417"/>
      <c r="E133" s="417"/>
      <c r="F133" s="417"/>
      <c r="G133" s="417"/>
      <c r="H133" s="417"/>
      <c r="I133" s="417"/>
      <c r="J133" s="417"/>
      <c r="K133" s="417"/>
      <c r="L133" s="417"/>
      <c r="M133" s="417"/>
      <c r="N133" s="417"/>
      <c r="O133" s="417"/>
      <c r="P133" s="417"/>
      <c r="Q133" s="417"/>
      <c r="R133" s="417"/>
      <c r="S133" s="417"/>
      <c r="T133" s="417"/>
      <c r="U133" s="417"/>
      <c r="V133" s="417"/>
      <c r="W133" s="417"/>
      <c r="X133" s="417"/>
      <c r="Y133" s="417"/>
      <c r="Z133" s="417"/>
    </row>
    <row r="134" spans="1:26" ht="15.75">
      <c r="A134" s="417"/>
      <c r="B134" s="417"/>
      <c r="C134" s="417"/>
      <c r="D134" s="417"/>
      <c r="E134" s="417"/>
      <c r="F134" s="417"/>
      <c r="G134" s="417"/>
      <c r="H134" s="417"/>
      <c r="I134" s="417"/>
      <c r="J134" s="417"/>
      <c r="K134" s="417"/>
      <c r="L134" s="417"/>
      <c r="M134" s="417"/>
      <c r="N134" s="417"/>
      <c r="O134" s="417"/>
      <c r="P134" s="417"/>
      <c r="Q134" s="417"/>
      <c r="R134" s="417"/>
      <c r="S134" s="417"/>
      <c r="T134" s="417"/>
      <c r="U134" s="417"/>
      <c r="V134" s="417"/>
      <c r="W134" s="417"/>
      <c r="X134" s="417"/>
      <c r="Y134" s="417"/>
      <c r="Z134" s="417"/>
    </row>
    <row r="135" spans="1:26" ht="15.75">
      <c r="A135" s="417"/>
      <c r="B135" s="417"/>
      <c r="C135" s="417"/>
      <c r="D135" s="417"/>
      <c r="E135" s="417"/>
      <c r="F135" s="417"/>
      <c r="G135" s="417"/>
      <c r="H135" s="417"/>
      <c r="I135" s="417"/>
      <c r="J135" s="417"/>
      <c r="K135" s="417"/>
      <c r="L135" s="417"/>
      <c r="M135" s="417"/>
      <c r="N135" s="417"/>
      <c r="O135" s="417"/>
      <c r="P135" s="417"/>
      <c r="Q135" s="417"/>
      <c r="R135" s="417"/>
      <c r="S135" s="417"/>
      <c r="T135" s="417"/>
      <c r="U135" s="417"/>
      <c r="V135" s="417"/>
      <c r="W135" s="417"/>
      <c r="X135" s="417"/>
      <c r="Y135" s="417"/>
      <c r="Z135" s="417"/>
    </row>
    <row r="136" spans="1:26" ht="15.75">
      <c r="A136" s="417"/>
      <c r="B136" s="417"/>
      <c r="C136" s="417"/>
      <c r="D136" s="417"/>
      <c r="E136" s="417"/>
      <c r="F136" s="417"/>
      <c r="G136" s="417"/>
      <c r="H136" s="417"/>
      <c r="I136" s="417"/>
      <c r="J136" s="417"/>
      <c r="K136" s="417"/>
      <c r="L136" s="417"/>
      <c r="M136" s="417"/>
      <c r="N136" s="417"/>
      <c r="O136" s="417"/>
      <c r="P136" s="417"/>
      <c r="Q136" s="417"/>
      <c r="R136" s="417"/>
      <c r="S136" s="417"/>
      <c r="T136" s="417"/>
      <c r="U136" s="417"/>
      <c r="V136" s="417"/>
      <c r="W136" s="417"/>
      <c r="X136" s="417"/>
      <c r="Y136" s="417"/>
      <c r="Z136" s="417"/>
    </row>
    <row r="137" spans="1:26" ht="15.75">
      <c r="A137" s="417"/>
      <c r="B137" s="417"/>
      <c r="C137" s="417"/>
      <c r="D137" s="417"/>
      <c r="E137" s="417"/>
      <c r="F137" s="417"/>
      <c r="G137" s="417"/>
      <c r="H137" s="417"/>
      <c r="I137" s="417"/>
      <c r="J137" s="417"/>
      <c r="K137" s="417"/>
      <c r="L137" s="417"/>
      <c r="M137" s="417"/>
      <c r="N137" s="417"/>
      <c r="O137" s="417"/>
      <c r="P137" s="417"/>
      <c r="Q137" s="417"/>
      <c r="R137" s="417"/>
      <c r="S137" s="417"/>
      <c r="T137" s="417"/>
      <c r="U137" s="417"/>
      <c r="V137" s="417"/>
      <c r="W137" s="417"/>
      <c r="X137" s="417"/>
      <c r="Y137" s="417"/>
      <c r="Z137" s="417"/>
    </row>
    <row r="138" spans="1:26" ht="15.75">
      <c r="A138" s="417"/>
      <c r="B138" s="417"/>
      <c r="C138" s="417"/>
      <c r="D138" s="417"/>
      <c r="E138" s="417"/>
      <c r="F138" s="417"/>
      <c r="G138" s="417"/>
      <c r="H138" s="417"/>
      <c r="I138" s="417"/>
      <c r="J138" s="417"/>
      <c r="K138" s="417"/>
      <c r="L138" s="417"/>
      <c r="M138" s="417"/>
      <c r="N138" s="417"/>
      <c r="O138" s="417"/>
      <c r="P138" s="417"/>
      <c r="Q138" s="417"/>
      <c r="R138" s="417"/>
      <c r="S138" s="417"/>
      <c r="T138" s="417"/>
      <c r="U138" s="417"/>
      <c r="V138" s="417"/>
      <c r="W138" s="417"/>
      <c r="X138" s="417"/>
      <c r="Y138" s="417"/>
      <c r="Z138" s="417"/>
    </row>
    <row r="139" spans="1:26" ht="15.75">
      <c r="A139" s="417"/>
      <c r="B139" s="417"/>
      <c r="C139" s="417"/>
      <c r="D139" s="417"/>
      <c r="E139" s="417"/>
      <c r="F139" s="417"/>
      <c r="G139" s="417"/>
      <c r="H139" s="417"/>
      <c r="I139" s="417"/>
      <c r="J139" s="417"/>
      <c r="K139" s="417"/>
      <c r="L139" s="417"/>
      <c r="M139" s="417"/>
      <c r="N139" s="417"/>
      <c r="O139" s="417"/>
      <c r="P139" s="417"/>
      <c r="Q139" s="417"/>
      <c r="R139" s="417"/>
      <c r="S139" s="417"/>
      <c r="T139" s="417"/>
      <c r="U139" s="417"/>
      <c r="V139" s="417"/>
      <c r="W139" s="417"/>
      <c r="X139" s="417"/>
      <c r="Y139" s="417"/>
      <c r="Z139" s="417"/>
    </row>
    <row r="140" spans="1:26" ht="15.75">
      <c r="A140" s="417"/>
      <c r="B140" s="417"/>
      <c r="C140" s="417"/>
      <c r="D140" s="417"/>
      <c r="E140" s="417"/>
      <c r="F140" s="417"/>
      <c r="G140" s="417"/>
      <c r="H140" s="417"/>
      <c r="I140" s="417"/>
      <c r="J140" s="417"/>
      <c r="K140" s="417"/>
      <c r="L140" s="417"/>
      <c r="M140" s="417"/>
      <c r="N140" s="417"/>
      <c r="O140" s="417"/>
      <c r="P140" s="417"/>
      <c r="Q140" s="417"/>
      <c r="R140" s="417"/>
      <c r="S140" s="417"/>
      <c r="T140" s="417"/>
      <c r="U140" s="417"/>
      <c r="V140" s="417"/>
      <c r="W140" s="417"/>
      <c r="X140" s="417"/>
      <c r="Y140" s="417"/>
      <c r="Z140" s="417"/>
    </row>
    <row r="141" spans="1:26" ht="15.75">
      <c r="A141" s="417"/>
      <c r="B141" s="417"/>
      <c r="C141" s="417"/>
      <c r="D141" s="417"/>
      <c r="E141" s="417"/>
      <c r="F141" s="417"/>
      <c r="G141" s="417"/>
      <c r="H141" s="417"/>
      <c r="I141" s="417"/>
      <c r="J141" s="417"/>
      <c r="K141" s="417"/>
      <c r="L141" s="417"/>
      <c r="M141" s="417"/>
      <c r="N141" s="417"/>
      <c r="O141" s="417"/>
      <c r="P141" s="417"/>
      <c r="Q141" s="417"/>
      <c r="R141" s="417"/>
      <c r="S141" s="417"/>
      <c r="T141" s="417"/>
      <c r="U141" s="417"/>
      <c r="V141" s="417"/>
      <c r="W141" s="417"/>
      <c r="X141" s="417"/>
      <c r="Y141" s="417"/>
      <c r="Z141" s="417"/>
    </row>
    <row r="142" spans="1:26" ht="15.75">
      <c r="A142" s="417"/>
      <c r="B142" s="417"/>
      <c r="C142" s="417"/>
      <c r="D142" s="417"/>
      <c r="E142" s="417"/>
      <c r="F142" s="417"/>
      <c r="G142" s="417"/>
      <c r="H142" s="417"/>
      <c r="I142" s="417"/>
      <c r="J142" s="417"/>
      <c r="K142" s="417"/>
      <c r="L142" s="417"/>
      <c r="M142" s="417"/>
      <c r="N142" s="417"/>
      <c r="O142" s="417"/>
      <c r="P142" s="417"/>
      <c r="Q142" s="417"/>
      <c r="R142" s="417"/>
      <c r="S142" s="417"/>
      <c r="T142" s="417"/>
      <c r="U142" s="417"/>
      <c r="V142" s="417"/>
      <c r="W142" s="417"/>
      <c r="X142" s="417"/>
      <c r="Y142" s="417"/>
      <c r="Z142" s="417"/>
    </row>
    <row r="143" spans="1:26" ht="15.75">
      <c r="A143" s="417"/>
      <c r="B143" s="417"/>
      <c r="C143" s="417"/>
      <c r="D143" s="417"/>
      <c r="E143" s="417"/>
      <c r="F143" s="417"/>
      <c r="G143" s="417"/>
      <c r="H143" s="417"/>
      <c r="I143" s="417"/>
      <c r="J143" s="417"/>
      <c r="K143" s="417"/>
      <c r="L143" s="417"/>
      <c r="M143" s="417"/>
      <c r="N143" s="417"/>
      <c r="O143" s="417"/>
      <c r="P143" s="417"/>
      <c r="Q143" s="417"/>
      <c r="R143" s="417"/>
      <c r="S143" s="417"/>
      <c r="T143" s="417"/>
      <c r="U143" s="417"/>
      <c r="V143" s="417"/>
      <c r="W143" s="417"/>
      <c r="X143" s="417"/>
      <c r="Y143" s="417"/>
      <c r="Z143" s="417"/>
    </row>
    <row r="144" spans="1:26" ht="15.75">
      <c r="A144" s="417"/>
      <c r="B144" s="417"/>
      <c r="C144" s="417"/>
      <c r="D144" s="417"/>
      <c r="E144" s="417"/>
      <c r="F144" s="417"/>
      <c r="G144" s="417"/>
      <c r="H144" s="417"/>
      <c r="I144" s="417"/>
      <c r="J144" s="417"/>
      <c r="K144" s="417"/>
      <c r="L144" s="417"/>
      <c r="M144" s="417"/>
      <c r="N144" s="417"/>
      <c r="O144" s="417"/>
      <c r="P144" s="417"/>
      <c r="Q144" s="417"/>
      <c r="R144" s="417"/>
      <c r="S144" s="417"/>
      <c r="T144" s="417"/>
      <c r="U144" s="417"/>
      <c r="V144" s="417"/>
      <c r="W144" s="417"/>
      <c r="X144" s="417"/>
      <c r="Y144" s="417"/>
      <c r="Z144" s="417"/>
    </row>
    <row r="145" spans="1:26" ht="15.75">
      <c r="A145" s="417"/>
      <c r="B145" s="417"/>
      <c r="C145" s="417"/>
      <c r="D145" s="417"/>
      <c r="E145" s="417"/>
      <c r="F145" s="417"/>
      <c r="G145" s="417"/>
      <c r="H145" s="417"/>
      <c r="I145" s="417"/>
      <c r="J145" s="417"/>
      <c r="K145" s="417"/>
      <c r="L145" s="417"/>
      <c r="M145" s="417"/>
      <c r="N145" s="417"/>
      <c r="O145" s="417"/>
      <c r="P145" s="417"/>
      <c r="Q145" s="417"/>
      <c r="R145" s="417"/>
      <c r="S145" s="417"/>
      <c r="T145" s="417"/>
      <c r="U145" s="417"/>
      <c r="V145" s="417"/>
      <c r="W145" s="417"/>
      <c r="X145" s="417"/>
      <c r="Y145" s="417"/>
      <c r="Z145" s="417"/>
    </row>
    <row r="146" spans="1:26" ht="15.75">
      <c r="A146" s="417"/>
      <c r="B146" s="417"/>
      <c r="C146" s="417"/>
      <c r="D146" s="417"/>
      <c r="E146" s="417"/>
      <c r="F146" s="417"/>
      <c r="G146" s="417"/>
      <c r="H146" s="417"/>
      <c r="I146" s="417"/>
      <c r="J146" s="417"/>
      <c r="K146" s="417"/>
      <c r="L146" s="417"/>
      <c r="M146" s="417"/>
      <c r="N146" s="417"/>
      <c r="O146" s="417"/>
      <c r="P146" s="417"/>
      <c r="Q146" s="417"/>
      <c r="R146" s="417"/>
      <c r="S146" s="417"/>
      <c r="T146" s="417"/>
      <c r="U146" s="417"/>
      <c r="V146" s="417"/>
      <c r="W146" s="417"/>
      <c r="X146" s="417"/>
      <c r="Y146" s="417"/>
      <c r="Z146" s="417"/>
    </row>
    <row r="147" spans="1:26" ht="15.75">
      <c r="A147" s="417"/>
      <c r="B147" s="417"/>
      <c r="C147" s="417"/>
      <c r="D147" s="417"/>
      <c r="E147" s="417"/>
      <c r="F147" s="417"/>
      <c r="G147" s="417"/>
      <c r="H147" s="417"/>
      <c r="I147" s="417"/>
      <c r="J147" s="417"/>
      <c r="K147" s="417"/>
      <c r="L147" s="417"/>
      <c r="M147" s="417"/>
      <c r="N147" s="417"/>
      <c r="O147" s="417"/>
      <c r="P147" s="417"/>
      <c r="Q147" s="417"/>
      <c r="R147" s="417"/>
      <c r="S147" s="417"/>
      <c r="T147" s="417"/>
      <c r="U147" s="417"/>
      <c r="V147" s="417"/>
      <c r="W147" s="417"/>
      <c r="X147" s="417"/>
      <c r="Y147" s="417"/>
      <c r="Z147" s="417"/>
    </row>
    <row r="148" spans="1:26" ht="15.75">
      <c r="A148" s="417"/>
      <c r="B148" s="417"/>
      <c r="C148" s="417"/>
      <c r="D148" s="417"/>
      <c r="E148" s="417"/>
      <c r="F148" s="417"/>
      <c r="G148" s="417"/>
      <c r="H148" s="417"/>
      <c r="I148" s="417"/>
      <c r="J148" s="417"/>
      <c r="K148" s="417"/>
      <c r="L148" s="417"/>
      <c r="M148" s="417"/>
      <c r="N148" s="417"/>
      <c r="O148" s="417"/>
      <c r="P148" s="417"/>
      <c r="Q148" s="417"/>
      <c r="R148" s="417"/>
      <c r="S148" s="417"/>
      <c r="T148" s="417"/>
      <c r="U148" s="417"/>
      <c r="V148" s="417"/>
      <c r="W148" s="417"/>
      <c r="X148" s="417"/>
      <c r="Y148" s="417"/>
      <c r="Z148" s="417"/>
    </row>
    <row r="149" spans="1:26" ht="15.75">
      <c r="A149" s="417"/>
      <c r="B149" s="417"/>
      <c r="C149" s="417"/>
      <c r="D149" s="417"/>
      <c r="E149" s="417"/>
      <c r="F149" s="417"/>
      <c r="G149" s="417"/>
      <c r="H149" s="417"/>
      <c r="I149" s="417"/>
      <c r="J149" s="417"/>
      <c r="K149" s="417"/>
      <c r="L149" s="417"/>
      <c r="M149" s="417"/>
      <c r="N149" s="417"/>
      <c r="O149" s="417"/>
      <c r="P149" s="417"/>
      <c r="Q149" s="417"/>
      <c r="R149" s="417"/>
      <c r="S149" s="417"/>
      <c r="T149" s="417"/>
      <c r="U149" s="417"/>
      <c r="V149" s="417"/>
      <c r="W149" s="417"/>
      <c r="X149" s="417"/>
      <c r="Y149" s="417"/>
      <c r="Z149" s="417"/>
    </row>
    <row r="150" spans="1:26" ht="15.75">
      <c r="A150" s="417"/>
      <c r="B150" s="417"/>
      <c r="C150" s="417"/>
      <c r="D150" s="417"/>
      <c r="E150" s="417"/>
      <c r="F150" s="417"/>
      <c r="G150" s="417"/>
      <c r="H150" s="417"/>
      <c r="I150" s="417"/>
      <c r="J150" s="417"/>
      <c r="K150" s="417"/>
      <c r="L150" s="417"/>
      <c r="M150" s="417"/>
      <c r="N150" s="417"/>
      <c r="O150" s="417"/>
      <c r="P150" s="417"/>
      <c r="Q150" s="417"/>
      <c r="R150" s="417"/>
      <c r="S150" s="417"/>
      <c r="T150" s="417"/>
      <c r="U150" s="417"/>
      <c r="V150" s="417"/>
      <c r="W150" s="417"/>
      <c r="X150" s="417"/>
      <c r="Y150" s="417"/>
      <c r="Z150" s="417"/>
    </row>
    <row r="151" spans="1:26" ht="15.75">
      <c r="A151" s="417"/>
      <c r="B151" s="417"/>
      <c r="C151" s="417"/>
      <c r="D151" s="417"/>
      <c r="E151" s="417"/>
      <c r="F151" s="417"/>
      <c r="G151" s="417"/>
      <c r="H151" s="417"/>
      <c r="I151" s="417"/>
      <c r="J151" s="417"/>
      <c r="K151" s="417"/>
      <c r="L151" s="417"/>
      <c r="M151" s="417"/>
      <c r="N151" s="417"/>
      <c r="O151" s="417"/>
      <c r="P151" s="417"/>
      <c r="Q151" s="417"/>
      <c r="R151" s="417"/>
      <c r="S151" s="417"/>
      <c r="T151" s="417"/>
      <c r="U151" s="417"/>
      <c r="V151" s="417"/>
      <c r="W151" s="417"/>
      <c r="X151" s="417"/>
      <c r="Y151" s="417"/>
      <c r="Z151" s="417"/>
    </row>
    <row r="152" spans="1:26" ht="15.75">
      <c r="A152" s="417"/>
      <c r="B152" s="417"/>
      <c r="C152" s="417"/>
      <c r="D152" s="417"/>
      <c r="E152" s="417"/>
      <c r="F152" s="417"/>
      <c r="G152" s="417"/>
      <c r="H152" s="417"/>
      <c r="I152" s="417"/>
      <c r="J152" s="417"/>
      <c r="K152" s="417"/>
      <c r="L152" s="417"/>
      <c r="M152" s="417"/>
      <c r="N152" s="417"/>
      <c r="O152" s="417"/>
      <c r="P152" s="417"/>
      <c r="Q152" s="417"/>
      <c r="R152" s="417"/>
      <c r="S152" s="417"/>
      <c r="T152" s="417"/>
      <c r="U152" s="417"/>
      <c r="V152" s="417"/>
      <c r="W152" s="417"/>
      <c r="X152" s="417"/>
      <c r="Y152" s="417"/>
      <c r="Z152" s="417"/>
    </row>
    <row r="153" spans="1:26" ht="15.75">
      <c r="A153" s="417"/>
      <c r="B153" s="417"/>
      <c r="C153" s="417"/>
      <c r="D153" s="417"/>
      <c r="E153" s="417"/>
      <c r="F153" s="417"/>
      <c r="G153" s="417"/>
      <c r="H153" s="417"/>
      <c r="I153" s="417"/>
      <c r="J153" s="417"/>
      <c r="K153" s="417"/>
      <c r="L153" s="417"/>
      <c r="M153" s="417"/>
      <c r="N153" s="417"/>
      <c r="O153" s="417"/>
      <c r="P153" s="417"/>
      <c r="Q153" s="417"/>
      <c r="R153" s="417"/>
      <c r="S153" s="417"/>
      <c r="T153" s="417"/>
      <c r="U153" s="417"/>
      <c r="V153" s="417"/>
      <c r="W153" s="417"/>
      <c r="X153" s="417"/>
      <c r="Y153" s="417"/>
      <c r="Z153" s="417"/>
    </row>
    <row r="154" spans="1:26" ht="15.75">
      <c r="A154" s="417"/>
      <c r="B154" s="417"/>
      <c r="C154" s="417"/>
      <c r="D154" s="417"/>
      <c r="E154" s="417"/>
      <c r="F154" s="417"/>
      <c r="G154" s="417"/>
      <c r="H154" s="417"/>
      <c r="I154" s="417"/>
      <c r="J154" s="417"/>
      <c r="K154" s="417"/>
      <c r="L154" s="417"/>
      <c r="M154" s="417"/>
      <c r="N154" s="417"/>
      <c r="O154" s="417"/>
      <c r="P154" s="417"/>
      <c r="Q154" s="417"/>
      <c r="R154" s="417"/>
      <c r="S154" s="417"/>
      <c r="T154" s="417"/>
      <c r="U154" s="417"/>
      <c r="V154" s="417"/>
      <c r="W154" s="417"/>
      <c r="X154" s="417"/>
      <c r="Y154" s="417"/>
      <c r="Z154" s="417"/>
    </row>
    <row r="155" spans="1:26" ht="15.75">
      <c r="A155" s="417"/>
      <c r="B155" s="417"/>
      <c r="C155" s="417"/>
      <c r="D155" s="417"/>
      <c r="E155" s="417"/>
      <c r="F155" s="417"/>
      <c r="G155" s="417"/>
      <c r="H155" s="417"/>
      <c r="I155" s="417"/>
      <c r="J155" s="417"/>
      <c r="K155" s="417"/>
      <c r="L155" s="417"/>
      <c r="M155" s="417"/>
      <c r="N155" s="417"/>
      <c r="O155" s="417"/>
      <c r="P155" s="417"/>
      <c r="Q155" s="417"/>
      <c r="R155" s="417"/>
      <c r="S155" s="417"/>
      <c r="T155" s="417"/>
      <c r="U155" s="417"/>
      <c r="V155" s="417"/>
      <c r="W155" s="417"/>
      <c r="X155" s="417"/>
      <c r="Y155" s="417"/>
      <c r="Z155" s="417"/>
    </row>
    <row r="156" spans="1:26" ht="15.75">
      <c r="A156" s="417"/>
      <c r="B156" s="417"/>
      <c r="C156" s="417"/>
      <c r="D156" s="417"/>
      <c r="E156" s="417"/>
      <c r="F156" s="417"/>
      <c r="G156" s="417"/>
      <c r="H156" s="417"/>
      <c r="I156" s="417"/>
      <c r="J156" s="417"/>
      <c r="K156" s="417"/>
      <c r="L156" s="417"/>
      <c r="M156" s="417"/>
      <c r="N156" s="417"/>
      <c r="O156" s="417"/>
      <c r="P156" s="417"/>
      <c r="Q156" s="417"/>
      <c r="R156" s="417"/>
      <c r="S156" s="417"/>
      <c r="T156" s="417"/>
      <c r="U156" s="417"/>
      <c r="V156" s="417"/>
      <c r="W156" s="417"/>
      <c r="X156" s="417"/>
      <c r="Y156" s="417"/>
      <c r="Z156" s="417"/>
    </row>
    <row r="157" spans="1:26" ht="15.75">
      <c r="A157" s="417"/>
      <c r="B157" s="417"/>
      <c r="C157" s="417"/>
      <c r="D157" s="417"/>
      <c r="E157" s="417"/>
      <c r="F157" s="417"/>
      <c r="G157" s="417"/>
      <c r="H157" s="417"/>
      <c r="I157" s="417"/>
      <c r="J157" s="417"/>
      <c r="K157" s="417"/>
      <c r="L157" s="417"/>
      <c r="M157" s="417"/>
      <c r="N157" s="417"/>
      <c r="O157" s="417"/>
      <c r="P157" s="417"/>
      <c r="Q157" s="417"/>
      <c r="R157" s="417"/>
      <c r="S157" s="417"/>
      <c r="T157" s="417"/>
      <c r="U157" s="417"/>
      <c r="V157" s="417"/>
      <c r="W157" s="417"/>
      <c r="X157" s="417"/>
      <c r="Y157" s="417"/>
      <c r="Z157" s="417"/>
    </row>
    <row r="158" spans="1:26" ht="15.75">
      <c r="A158" s="417"/>
      <c r="B158" s="417"/>
      <c r="C158" s="417"/>
      <c r="D158" s="417"/>
      <c r="E158" s="417"/>
      <c r="F158" s="417"/>
      <c r="G158" s="417"/>
      <c r="H158" s="417"/>
      <c r="I158" s="417"/>
      <c r="J158" s="417"/>
      <c r="K158" s="417"/>
      <c r="L158" s="417"/>
      <c r="M158" s="417"/>
      <c r="N158" s="417"/>
      <c r="O158" s="417"/>
      <c r="P158" s="417"/>
      <c r="Q158" s="417"/>
      <c r="R158" s="417"/>
      <c r="S158" s="417"/>
      <c r="T158" s="417"/>
      <c r="U158" s="417"/>
      <c r="V158" s="417"/>
      <c r="W158" s="417"/>
      <c r="X158" s="417"/>
      <c r="Y158" s="417"/>
      <c r="Z158" s="417"/>
    </row>
    <row r="159" spans="1:26" ht="15.75">
      <c r="A159" s="417"/>
      <c r="B159" s="417"/>
      <c r="C159" s="417"/>
      <c r="D159" s="417"/>
      <c r="E159" s="417"/>
      <c r="F159" s="417"/>
      <c r="G159" s="417"/>
      <c r="H159" s="417"/>
      <c r="I159" s="417"/>
      <c r="J159" s="417"/>
      <c r="K159" s="417"/>
      <c r="L159" s="417"/>
      <c r="M159" s="417"/>
      <c r="N159" s="417"/>
      <c r="O159" s="417"/>
      <c r="P159" s="417"/>
      <c r="Q159" s="417"/>
      <c r="R159" s="417"/>
      <c r="S159" s="417"/>
      <c r="T159" s="417"/>
      <c r="U159" s="417"/>
      <c r="V159" s="417"/>
      <c r="W159" s="417"/>
      <c r="X159" s="417"/>
      <c r="Y159" s="417"/>
      <c r="Z159" s="417"/>
    </row>
    <row r="160" spans="1:26" ht="15.75">
      <c r="A160" s="417"/>
      <c r="B160" s="417"/>
      <c r="C160" s="417"/>
      <c r="D160" s="417"/>
      <c r="E160" s="417"/>
      <c r="F160" s="417"/>
      <c r="G160" s="417"/>
      <c r="H160" s="417"/>
      <c r="I160" s="417"/>
      <c r="J160" s="417"/>
      <c r="K160" s="417"/>
      <c r="L160" s="417"/>
      <c r="M160" s="417"/>
      <c r="N160" s="417"/>
      <c r="O160" s="417"/>
      <c r="P160" s="417"/>
      <c r="Q160" s="417"/>
      <c r="R160" s="417"/>
      <c r="S160" s="417"/>
      <c r="T160" s="417"/>
      <c r="U160" s="417"/>
      <c r="V160" s="417"/>
      <c r="W160" s="417"/>
      <c r="X160" s="417"/>
      <c r="Y160" s="417"/>
      <c r="Z160" s="417"/>
    </row>
    <row r="161" spans="1:26" ht="15.75">
      <c r="A161" s="417"/>
      <c r="B161" s="417"/>
      <c r="C161" s="417"/>
      <c r="D161" s="417"/>
      <c r="E161" s="417"/>
      <c r="F161" s="417"/>
      <c r="G161" s="417"/>
      <c r="H161" s="417"/>
      <c r="I161" s="417"/>
      <c r="J161" s="417"/>
      <c r="K161" s="417"/>
      <c r="L161" s="417"/>
      <c r="M161" s="417"/>
      <c r="N161" s="417"/>
      <c r="O161" s="417"/>
      <c r="P161" s="417"/>
      <c r="Q161" s="417"/>
      <c r="R161" s="417"/>
      <c r="S161" s="417"/>
      <c r="T161" s="417"/>
      <c r="U161" s="417"/>
      <c r="V161" s="417"/>
      <c r="W161" s="417"/>
      <c r="X161" s="417"/>
      <c r="Y161" s="417"/>
      <c r="Z161" s="417"/>
    </row>
    <row r="162" spans="1:26" ht="15.75">
      <c r="A162" s="417"/>
      <c r="B162" s="417"/>
      <c r="C162" s="417"/>
      <c r="D162" s="417"/>
      <c r="E162" s="417"/>
      <c r="F162" s="417"/>
      <c r="G162" s="417"/>
      <c r="H162" s="417"/>
      <c r="I162" s="417"/>
      <c r="J162" s="417"/>
      <c r="K162" s="417"/>
      <c r="L162" s="417"/>
      <c r="M162" s="417"/>
      <c r="N162" s="417"/>
      <c r="O162" s="417"/>
      <c r="P162" s="417"/>
      <c r="Q162" s="417"/>
      <c r="R162" s="417"/>
      <c r="S162" s="417"/>
      <c r="T162" s="417"/>
      <c r="U162" s="417"/>
      <c r="V162" s="417"/>
      <c r="W162" s="417"/>
      <c r="X162" s="417"/>
      <c r="Y162" s="417"/>
      <c r="Z162" s="417"/>
    </row>
    <row r="163" spans="1:26" ht="15.75">
      <c r="A163" s="417"/>
      <c r="B163" s="417"/>
      <c r="C163" s="417"/>
      <c r="D163" s="417"/>
      <c r="E163" s="417"/>
      <c r="F163" s="417"/>
      <c r="G163" s="417"/>
      <c r="H163" s="417"/>
      <c r="I163" s="417"/>
      <c r="J163" s="417"/>
      <c r="K163" s="417"/>
      <c r="L163" s="417"/>
      <c r="M163" s="417"/>
      <c r="N163" s="417"/>
      <c r="O163" s="417"/>
      <c r="P163" s="417"/>
      <c r="Q163" s="417"/>
      <c r="R163" s="417"/>
      <c r="S163" s="417"/>
      <c r="T163" s="417"/>
      <c r="U163" s="417"/>
      <c r="V163" s="417"/>
      <c r="W163" s="417"/>
      <c r="X163" s="417"/>
      <c r="Y163" s="417"/>
      <c r="Z163" s="417"/>
    </row>
    <row r="164" spans="1:26" ht="15.75">
      <c r="A164" s="417"/>
      <c r="B164" s="417"/>
      <c r="C164" s="417"/>
      <c r="D164" s="417"/>
      <c r="E164" s="417"/>
      <c r="F164" s="417"/>
      <c r="G164" s="417"/>
      <c r="H164" s="417"/>
      <c r="I164" s="417"/>
      <c r="J164" s="417"/>
      <c r="K164" s="417"/>
      <c r="L164" s="417"/>
      <c r="M164" s="417"/>
      <c r="N164" s="417"/>
      <c r="O164" s="417"/>
      <c r="P164" s="417"/>
      <c r="Q164" s="417"/>
      <c r="R164" s="417"/>
      <c r="S164" s="417"/>
      <c r="T164" s="417"/>
      <c r="U164" s="417"/>
      <c r="V164" s="417"/>
      <c r="W164" s="417"/>
      <c r="X164" s="417"/>
      <c r="Y164" s="417"/>
      <c r="Z164" s="417"/>
    </row>
    <row r="165" spans="1:26" ht="15.75">
      <c r="A165" s="417"/>
      <c r="B165" s="417"/>
      <c r="C165" s="417"/>
      <c r="D165" s="417"/>
      <c r="E165" s="417"/>
      <c r="F165" s="417"/>
      <c r="G165" s="417"/>
      <c r="H165" s="417"/>
      <c r="I165" s="417"/>
      <c r="J165" s="417"/>
      <c r="K165" s="417"/>
      <c r="L165" s="417"/>
      <c r="M165" s="417"/>
      <c r="N165" s="417"/>
      <c r="O165" s="417"/>
      <c r="P165" s="417"/>
      <c r="Q165" s="417"/>
      <c r="R165" s="417"/>
      <c r="S165" s="417"/>
      <c r="T165" s="417"/>
      <c r="U165" s="417"/>
      <c r="V165" s="417"/>
      <c r="W165" s="417"/>
      <c r="X165" s="417"/>
      <c r="Y165" s="417"/>
      <c r="Z165" s="417"/>
    </row>
    <row r="166" spans="1:26" ht="15.75">
      <c r="A166" s="417"/>
      <c r="B166" s="417"/>
      <c r="C166" s="417"/>
      <c r="D166" s="417"/>
      <c r="E166" s="417"/>
      <c r="F166" s="417"/>
      <c r="G166" s="417"/>
      <c r="H166" s="417"/>
      <c r="I166" s="417"/>
      <c r="J166" s="417"/>
      <c r="K166" s="417"/>
      <c r="L166" s="417"/>
      <c r="M166" s="417"/>
      <c r="N166" s="417"/>
      <c r="O166" s="417"/>
      <c r="P166" s="417"/>
      <c r="Q166" s="417"/>
      <c r="R166" s="417"/>
      <c r="S166" s="417"/>
      <c r="T166" s="417"/>
      <c r="U166" s="417"/>
      <c r="V166" s="417"/>
      <c r="W166" s="417"/>
      <c r="X166" s="417"/>
      <c r="Y166" s="417"/>
      <c r="Z166" s="417"/>
    </row>
    <row r="167" spans="1:26" ht="15.75">
      <c r="A167" s="417"/>
      <c r="B167" s="417"/>
      <c r="C167" s="417"/>
      <c r="D167" s="417"/>
      <c r="E167" s="417"/>
      <c r="F167" s="417"/>
      <c r="G167" s="417"/>
      <c r="H167" s="417"/>
      <c r="I167" s="417"/>
      <c r="J167" s="417"/>
      <c r="K167" s="417"/>
      <c r="L167" s="417"/>
      <c r="M167" s="417"/>
      <c r="N167" s="417"/>
      <c r="O167" s="417"/>
      <c r="P167" s="417"/>
      <c r="Q167" s="417"/>
      <c r="R167" s="417"/>
      <c r="S167" s="417"/>
      <c r="T167" s="417"/>
      <c r="U167" s="417"/>
      <c r="V167" s="417"/>
      <c r="W167" s="417"/>
      <c r="X167" s="417"/>
      <c r="Y167" s="417"/>
      <c r="Z167" s="417"/>
    </row>
    <row r="168" spans="1:26" ht="15.75">
      <c r="A168" s="417"/>
      <c r="B168" s="417"/>
      <c r="C168" s="417"/>
      <c r="D168" s="417"/>
      <c r="E168" s="417"/>
      <c r="F168" s="417"/>
      <c r="G168" s="417"/>
      <c r="H168" s="417"/>
      <c r="I168" s="417"/>
      <c r="J168" s="417"/>
      <c r="K168" s="417"/>
      <c r="L168" s="417"/>
      <c r="M168" s="417"/>
      <c r="N168" s="417"/>
      <c r="O168" s="417"/>
      <c r="P168" s="417"/>
      <c r="Q168" s="417"/>
      <c r="R168" s="417"/>
      <c r="S168" s="417"/>
      <c r="T168" s="417"/>
      <c r="U168" s="417"/>
      <c r="V168" s="417"/>
      <c r="W168" s="417"/>
      <c r="X168" s="417"/>
      <c r="Y168" s="417"/>
      <c r="Z168" s="417"/>
    </row>
    <row r="169" spans="1:26" ht="15.75">
      <c r="A169" s="417"/>
      <c r="B169" s="417"/>
      <c r="C169" s="417"/>
      <c r="D169" s="417"/>
      <c r="E169" s="417"/>
      <c r="F169" s="417"/>
      <c r="G169" s="417"/>
      <c r="H169" s="417"/>
      <c r="I169" s="417"/>
      <c r="J169" s="417"/>
      <c r="K169" s="417"/>
      <c r="L169" s="417"/>
      <c r="M169" s="417"/>
      <c r="N169" s="417"/>
      <c r="O169" s="417"/>
      <c r="P169" s="417"/>
      <c r="Q169" s="417"/>
      <c r="R169" s="417"/>
      <c r="S169" s="417"/>
      <c r="T169" s="417"/>
      <c r="U169" s="417"/>
      <c r="V169" s="417"/>
      <c r="W169" s="417"/>
      <c r="X169" s="417"/>
      <c r="Y169" s="417"/>
      <c r="Z169" s="417"/>
    </row>
    <row r="170" spans="1:26" ht="15.75">
      <c r="A170" s="417"/>
      <c r="B170" s="417"/>
      <c r="C170" s="417"/>
      <c r="D170" s="417"/>
      <c r="E170" s="417"/>
      <c r="F170" s="417"/>
      <c r="G170" s="417"/>
      <c r="H170" s="417"/>
      <c r="I170" s="417"/>
      <c r="J170" s="417"/>
      <c r="K170" s="417"/>
      <c r="L170" s="417"/>
      <c r="M170" s="417"/>
      <c r="N170" s="417"/>
      <c r="O170" s="417"/>
      <c r="P170" s="417"/>
      <c r="Q170" s="417"/>
      <c r="R170" s="417"/>
      <c r="S170" s="417"/>
      <c r="T170" s="417"/>
      <c r="U170" s="417"/>
      <c r="V170" s="417"/>
      <c r="W170" s="417"/>
      <c r="X170" s="417"/>
      <c r="Y170" s="417"/>
      <c r="Z170" s="417"/>
    </row>
    <row r="171" spans="1:26" ht="15.75">
      <c r="A171" s="417"/>
      <c r="B171" s="417"/>
      <c r="C171" s="417"/>
      <c r="D171" s="417"/>
      <c r="E171" s="417"/>
      <c r="F171" s="417"/>
      <c r="G171" s="417"/>
      <c r="H171" s="417"/>
      <c r="I171" s="417"/>
      <c r="J171" s="417"/>
      <c r="K171" s="417"/>
      <c r="L171" s="417"/>
      <c r="M171" s="417"/>
      <c r="N171" s="417"/>
      <c r="O171" s="417"/>
      <c r="P171" s="417"/>
      <c r="Q171" s="417"/>
      <c r="R171" s="417"/>
      <c r="S171" s="417"/>
      <c r="T171" s="417"/>
      <c r="U171" s="417"/>
      <c r="V171" s="417"/>
      <c r="W171" s="417"/>
      <c r="X171" s="417"/>
      <c r="Y171" s="417"/>
      <c r="Z171" s="417"/>
    </row>
    <row r="172" spans="1:26" ht="15.75">
      <c r="A172" s="417"/>
      <c r="B172" s="417"/>
      <c r="C172" s="417"/>
      <c r="D172" s="417"/>
      <c r="E172" s="417"/>
      <c r="F172" s="417"/>
      <c r="G172" s="417"/>
      <c r="H172" s="417"/>
      <c r="I172" s="417"/>
      <c r="J172" s="417"/>
      <c r="K172" s="417"/>
      <c r="L172" s="417"/>
      <c r="M172" s="417"/>
      <c r="N172" s="417"/>
      <c r="O172" s="417"/>
      <c r="P172" s="417"/>
      <c r="Q172" s="417"/>
      <c r="R172" s="417"/>
      <c r="S172" s="417"/>
      <c r="T172" s="417"/>
      <c r="U172" s="417"/>
      <c r="V172" s="417"/>
      <c r="W172" s="417"/>
      <c r="X172" s="417"/>
      <c r="Y172" s="417"/>
      <c r="Z172" s="417"/>
    </row>
    <row r="173" spans="1:26" ht="15.75">
      <c r="A173" s="417"/>
      <c r="B173" s="417"/>
      <c r="C173" s="417"/>
      <c r="D173" s="417"/>
      <c r="E173" s="417"/>
      <c r="F173" s="417"/>
      <c r="G173" s="417"/>
      <c r="H173" s="417"/>
      <c r="I173" s="417"/>
      <c r="J173" s="417"/>
      <c r="K173" s="417"/>
      <c r="L173" s="417"/>
      <c r="M173" s="417"/>
      <c r="N173" s="417"/>
      <c r="O173" s="417"/>
      <c r="P173" s="417"/>
      <c r="Q173" s="417"/>
      <c r="R173" s="417"/>
      <c r="S173" s="417"/>
      <c r="T173" s="417"/>
      <c r="U173" s="417"/>
      <c r="V173" s="417"/>
      <c r="W173" s="417"/>
      <c r="X173" s="417"/>
      <c r="Y173" s="417"/>
      <c r="Z173" s="417"/>
    </row>
    <row r="174" spans="1:26" ht="15.75">
      <c r="A174" s="417"/>
      <c r="B174" s="417"/>
      <c r="C174" s="417"/>
      <c r="D174" s="417"/>
      <c r="E174" s="417"/>
      <c r="F174" s="417"/>
      <c r="G174" s="417"/>
      <c r="H174" s="417"/>
      <c r="I174" s="417"/>
      <c r="J174" s="417"/>
      <c r="K174" s="417"/>
      <c r="L174" s="417"/>
      <c r="M174" s="417"/>
      <c r="N174" s="417"/>
      <c r="O174" s="417"/>
      <c r="P174" s="417"/>
      <c r="Q174" s="417"/>
      <c r="R174" s="417"/>
      <c r="S174" s="417"/>
      <c r="T174" s="417"/>
      <c r="U174" s="417"/>
      <c r="V174" s="417"/>
      <c r="W174" s="417"/>
      <c r="X174" s="417"/>
      <c r="Y174" s="417"/>
      <c r="Z174" s="417"/>
    </row>
    <row r="175" spans="1:26" ht="15.75">
      <c r="A175" s="417"/>
      <c r="B175" s="417"/>
      <c r="C175" s="417"/>
      <c r="D175" s="417"/>
      <c r="E175" s="417"/>
      <c r="F175" s="417"/>
      <c r="G175" s="417"/>
      <c r="H175" s="417"/>
      <c r="I175" s="417"/>
      <c r="J175" s="417"/>
      <c r="K175" s="417"/>
      <c r="L175" s="417"/>
      <c r="M175" s="417"/>
      <c r="N175" s="417"/>
      <c r="O175" s="417"/>
      <c r="P175" s="417"/>
      <c r="Q175" s="417"/>
      <c r="R175" s="417"/>
      <c r="S175" s="417"/>
      <c r="T175" s="417"/>
      <c r="U175" s="417"/>
      <c r="V175" s="417"/>
      <c r="W175" s="417"/>
      <c r="X175" s="417"/>
      <c r="Y175" s="417"/>
      <c r="Z175" s="417"/>
    </row>
    <row r="176" spans="1:26" ht="15.75">
      <c r="A176" s="417"/>
      <c r="B176" s="417"/>
      <c r="C176" s="417"/>
      <c r="D176" s="417"/>
      <c r="E176" s="417"/>
      <c r="F176" s="417"/>
      <c r="G176" s="417"/>
      <c r="H176" s="417"/>
      <c r="I176" s="417"/>
      <c r="J176" s="417"/>
      <c r="K176" s="417"/>
      <c r="L176" s="417"/>
      <c r="M176" s="417"/>
      <c r="N176" s="417"/>
      <c r="O176" s="417"/>
      <c r="P176" s="417"/>
      <c r="Q176" s="417"/>
      <c r="R176" s="417"/>
      <c r="S176" s="417"/>
      <c r="T176" s="417"/>
      <c r="U176" s="417"/>
      <c r="V176" s="417"/>
      <c r="W176" s="417"/>
      <c r="X176" s="417"/>
      <c r="Y176" s="417"/>
      <c r="Z176" s="417"/>
    </row>
    <row r="177" spans="1:26" ht="15.75">
      <c r="A177" s="417"/>
      <c r="B177" s="417"/>
      <c r="C177" s="417"/>
      <c r="D177" s="417"/>
      <c r="E177" s="417"/>
      <c r="F177" s="417"/>
      <c r="G177" s="417"/>
      <c r="H177" s="417"/>
      <c r="I177" s="417"/>
      <c r="J177" s="417"/>
      <c r="K177" s="417"/>
      <c r="L177" s="417"/>
      <c r="M177" s="417"/>
      <c r="N177" s="417"/>
      <c r="O177" s="417"/>
      <c r="P177" s="417"/>
      <c r="Q177" s="417"/>
      <c r="R177" s="417"/>
      <c r="S177" s="417"/>
      <c r="T177" s="417"/>
      <c r="U177" s="417"/>
      <c r="V177" s="417"/>
      <c r="W177" s="417"/>
      <c r="X177" s="417"/>
      <c r="Y177" s="417"/>
      <c r="Z177" s="417"/>
    </row>
    <row r="178" spans="1:26" ht="15.75">
      <c r="A178" s="417"/>
      <c r="B178" s="417"/>
      <c r="C178" s="417"/>
      <c r="D178" s="417"/>
      <c r="E178" s="417"/>
      <c r="F178" s="417"/>
      <c r="G178" s="417"/>
      <c r="H178" s="417"/>
      <c r="I178" s="417"/>
      <c r="J178" s="417"/>
      <c r="K178" s="417"/>
      <c r="L178" s="417"/>
      <c r="M178" s="417"/>
      <c r="N178" s="417"/>
      <c r="O178" s="417"/>
      <c r="P178" s="417"/>
      <c r="Q178" s="417"/>
      <c r="R178" s="417"/>
      <c r="S178" s="417"/>
      <c r="T178" s="417"/>
      <c r="U178" s="417"/>
      <c r="V178" s="417"/>
      <c r="W178" s="417"/>
      <c r="X178" s="417"/>
      <c r="Y178" s="417"/>
      <c r="Z178" s="417"/>
    </row>
    <row r="179" spans="1:26" ht="15.75">
      <c r="A179" s="417"/>
      <c r="B179" s="417"/>
      <c r="C179" s="417"/>
      <c r="D179" s="417"/>
      <c r="E179" s="417"/>
      <c r="F179" s="417"/>
      <c r="G179" s="417"/>
      <c r="H179" s="417"/>
      <c r="I179" s="417"/>
      <c r="J179" s="417"/>
      <c r="K179" s="417"/>
      <c r="L179" s="417"/>
      <c r="M179" s="417"/>
      <c r="N179" s="417"/>
      <c r="O179" s="417"/>
      <c r="P179" s="417"/>
      <c r="Q179" s="417"/>
      <c r="R179" s="417"/>
      <c r="S179" s="417"/>
      <c r="T179" s="417"/>
      <c r="U179" s="417"/>
      <c r="V179" s="417"/>
      <c r="W179" s="417"/>
      <c r="X179" s="417"/>
      <c r="Y179" s="417"/>
      <c r="Z179" s="417"/>
    </row>
    <row r="180" spans="1:26" ht="15.75">
      <c r="A180" s="417"/>
      <c r="B180" s="417"/>
      <c r="C180" s="417"/>
      <c r="D180" s="417"/>
      <c r="E180" s="417"/>
      <c r="F180" s="417"/>
      <c r="G180" s="417"/>
      <c r="H180" s="417"/>
      <c r="I180" s="417"/>
      <c r="J180" s="417"/>
      <c r="K180" s="417"/>
      <c r="L180" s="417"/>
      <c r="M180" s="417"/>
      <c r="N180" s="417"/>
      <c r="O180" s="417"/>
      <c r="P180" s="417"/>
      <c r="Q180" s="417"/>
      <c r="R180" s="417"/>
      <c r="S180" s="417"/>
      <c r="T180" s="417"/>
      <c r="U180" s="417"/>
      <c r="V180" s="417"/>
      <c r="W180" s="417"/>
      <c r="X180" s="417"/>
      <c r="Y180" s="417"/>
      <c r="Z180" s="417"/>
    </row>
    <row r="181" spans="1:26" ht="15.75">
      <c r="A181" s="417"/>
      <c r="B181" s="417"/>
      <c r="C181" s="417"/>
      <c r="D181" s="417"/>
      <c r="E181" s="417"/>
      <c r="F181" s="417"/>
      <c r="G181" s="417"/>
      <c r="H181" s="417"/>
      <c r="I181" s="417"/>
      <c r="J181" s="417"/>
      <c r="K181" s="417"/>
      <c r="L181" s="417"/>
      <c r="M181" s="417"/>
      <c r="N181" s="417"/>
      <c r="O181" s="417"/>
      <c r="P181" s="417"/>
      <c r="Q181" s="417"/>
      <c r="R181" s="417"/>
      <c r="S181" s="417"/>
      <c r="T181" s="417"/>
      <c r="U181" s="417"/>
      <c r="V181" s="417"/>
      <c r="W181" s="417"/>
      <c r="X181" s="417"/>
      <c r="Y181" s="417"/>
      <c r="Z181" s="417"/>
    </row>
    <row r="182" spans="1:26" ht="15.75">
      <c r="A182" s="417"/>
      <c r="B182" s="417"/>
      <c r="C182" s="417"/>
      <c r="D182" s="417"/>
      <c r="E182" s="417"/>
      <c r="F182" s="417"/>
      <c r="G182" s="417"/>
      <c r="H182" s="417"/>
      <c r="I182" s="417"/>
      <c r="J182" s="417"/>
      <c r="K182" s="417"/>
      <c r="L182" s="417"/>
      <c r="M182" s="417"/>
      <c r="N182" s="417"/>
      <c r="O182" s="417"/>
      <c r="P182" s="417"/>
      <c r="Q182" s="417"/>
      <c r="R182" s="417"/>
      <c r="S182" s="417"/>
      <c r="T182" s="417"/>
      <c r="U182" s="417"/>
      <c r="V182" s="417"/>
      <c r="W182" s="417"/>
      <c r="X182" s="417"/>
      <c r="Y182" s="417"/>
      <c r="Z182" s="417"/>
    </row>
    <row r="183" spans="1:26" ht="15.75">
      <c r="A183" s="417"/>
      <c r="B183" s="417"/>
      <c r="C183" s="417"/>
      <c r="D183" s="417"/>
      <c r="E183" s="417"/>
      <c r="F183" s="417"/>
      <c r="G183" s="417"/>
      <c r="H183" s="417"/>
      <c r="I183" s="417"/>
      <c r="J183" s="417"/>
      <c r="K183" s="417"/>
      <c r="L183" s="417"/>
      <c r="M183" s="417"/>
      <c r="N183" s="417"/>
      <c r="O183" s="417"/>
      <c r="P183" s="417"/>
      <c r="Q183" s="417"/>
      <c r="R183" s="417"/>
      <c r="S183" s="417"/>
      <c r="T183" s="417"/>
      <c r="U183" s="417"/>
      <c r="V183" s="417"/>
      <c r="W183" s="417"/>
      <c r="X183" s="417"/>
      <c r="Y183" s="417"/>
      <c r="Z183" s="417"/>
    </row>
    <row r="184" spans="1:26" ht="15.75">
      <c r="A184" s="417"/>
      <c r="B184" s="417"/>
      <c r="C184" s="417"/>
      <c r="D184" s="417"/>
      <c r="E184" s="417"/>
      <c r="F184" s="417"/>
      <c r="G184" s="417"/>
      <c r="H184" s="417"/>
      <c r="I184" s="417"/>
      <c r="J184" s="417"/>
      <c r="K184" s="417"/>
      <c r="L184" s="417"/>
      <c r="M184" s="417"/>
      <c r="N184" s="417"/>
      <c r="O184" s="417"/>
      <c r="P184" s="417"/>
      <c r="Q184" s="417"/>
      <c r="R184" s="417"/>
      <c r="S184" s="417"/>
      <c r="T184" s="417"/>
      <c r="U184" s="417"/>
      <c r="V184" s="417"/>
      <c r="W184" s="417"/>
      <c r="X184" s="417"/>
      <c r="Y184" s="417"/>
      <c r="Z184" s="417"/>
    </row>
    <row r="185" spans="1:26" ht="15.75">
      <c r="A185" s="417"/>
      <c r="B185" s="417"/>
      <c r="C185" s="417"/>
      <c r="D185" s="417"/>
      <c r="E185" s="417"/>
      <c r="F185" s="417"/>
      <c r="G185" s="417"/>
      <c r="H185" s="417"/>
      <c r="I185" s="417"/>
      <c r="J185" s="417"/>
      <c r="K185" s="417"/>
      <c r="L185" s="417"/>
      <c r="M185" s="417"/>
      <c r="N185" s="417"/>
      <c r="O185" s="417"/>
      <c r="P185" s="417"/>
      <c r="Q185" s="417"/>
      <c r="R185" s="417"/>
      <c r="S185" s="417"/>
      <c r="T185" s="417"/>
      <c r="U185" s="417"/>
      <c r="V185" s="417"/>
      <c r="W185" s="417"/>
      <c r="X185" s="417"/>
      <c r="Y185" s="417"/>
      <c r="Z185" s="417"/>
    </row>
    <row r="186" spans="1:26" ht="15.75">
      <c r="A186" s="417"/>
      <c r="B186" s="417"/>
      <c r="C186" s="417"/>
      <c r="D186" s="417"/>
      <c r="E186" s="417"/>
      <c r="F186" s="417"/>
      <c r="G186" s="417"/>
      <c r="H186" s="417"/>
      <c r="I186" s="417"/>
      <c r="J186" s="417"/>
      <c r="K186" s="417"/>
      <c r="L186" s="417"/>
      <c r="M186" s="417"/>
      <c r="N186" s="417"/>
      <c r="O186" s="417"/>
      <c r="P186" s="417"/>
      <c r="Q186" s="417"/>
      <c r="R186" s="417"/>
      <c r="S186" s="417"/>
      <c r="T186" s="417"/>
      <c r="U186" s="417"/>
      <c r="V186" s="417"/>
      <c r="W186" s="417"/>
      <c r="X186" s="417"/>
      <c r="Y186" s="417"/>
      <c r="Z186" s="417"/>
    </row>
    <row r="187" spans="1:26" ht="15.75">
      <c r="A187" s="417"/>
      <c r="B187" s="417"/>
      <c r="C187" s="417"/>
      <c r="D187" s="417"/>
      <c r="E187" s="417"/>
      <c r="F187" s="417"/>
      <c r="G187" s="417"/>
      <c r="H187" s="417"/>
      <c r="I187" s="417"/>
      <c r="J187" s="417"/>
      <c r="K187" s="417"/>
      <c r="L187" s="417"/>
      <c r="M187" s="417"/>
      <c r="N187" s="417"/>
      <c r="O187" s="417"/>
      <c r="P187" s="417"/>
      <c r="Q187" s="417"/>
      <c r="R187" s="417"/>
      <c r="S187" s="417"/>
      <c r="T187" s="417"/>
      <c r="U187" s="417"/>
      <c r="V187" s="417"/>
      <c r="W187" s="417"/>
      <c r="X187" s="417"/>
      <c r="Y187" s="417"/>
      <c r="Z187" s="417"/>
    </row>
    <row r="188" spans="1:26" ht="15.75">
      <c r="A188" s="417"/>
      <c r="B188" s="417"/>
      <c r="C188" s="417"/>
      <c r="D188" s="417"/>
      <c r="E188" s="417"/>
      <c r="F188" s="417"/>
      <c r="G188" s="417"/>
      <c r="H188" s="417"/>
      <c r="I188" s="417"/>
      <c r="J188" s="417"/>
      <c r="K188" s="417"/>
      <c r="L188" s="417"/>
      <c r="M188" s="417"/>
      <c r="N188" s="417"/>
      <c r="O188" s="417"/>
      <c r="P188" s="417"/>
      <c r="Q188" s="417"/>
      <c r="R188" s="417"/>
      <c r="S188" s="417"/>
      <c r="T188" s="417"/>
      <c r="U188" s="417"/>
      <c r="V188" s="417"/>
      <c r="W188" s="417"/>
      <c r="X188" s="417"/>
      <c r="Y188" s="417"/>
      <c r="Z188" s="417"/>
    </row>
    <row r="189" spans="1:26" ht="15.75">
      <c r="A189" s="417"/>
      <c r="B189" s="417"/>
      <c r="C189" s="417"/>
      <c r="D189" s="417"/>
      <c r="E189" s="417"/>
      <c r="F189" s="417"/>
      <c r="G189" s="417"/>
      <c r="H189" s="417"/>
      <c r="I189" s="417"/>
      <c r="J189" s="417"/>
      <c r="K189" s="417"/>
      <c r="L189" s="417"/>
      <c r="M189" s="417"/>
      <c r="N189" s="417"/>
      <c r="O189" s="417"/>
      <c r="P189" s="417"/>
      <c r="Q189" s="417"/>
      <c r="R189" s="417"/>
      <c r="S189" s="417"/>
      <c r="T189" s="417"/>
      <c r="U189" s="417"/>
      <c r="V189" s="417"/>
      <c r="W189" s="417"/>
      <c r="X189" s="417"/>
      <c r="Y189" s="417"/>
      <c r="Z189" s="417"/>
    </row>
    <row r="190" spans="1:26" ht="15.75">
      <c r="A190" s="417"/>
      <c r="B190" s="417"/>
      <c r="C190" s="417"/>
      <c r="D190" s="417"/>
      <c r="E190" s="417"/>
      <c r="F190" s="417"/>
      <c r="G190" s="417"/>
      <c r="H190" s="417"/>
      <c r="I190" s="417"/>
      <c r="J190" s="417"/>
      <c r="K190" s="417"/>
      <c r="L190" s="417"/>
      <c r="M190" s="417"/>
      <c r="N190" s="417"/>
      <c r="O190" s="417"/>
      <c r="P190" s="417"/>
      <c r="Q190" s="417"/>
      <c r="R190" s="417"/>
      <c r="S190" s="417"/>
      <c r="T190" s="417"/>
      <c r="U190" s="417"/>
      <c r="V190" s="417"/>
      <c r="W190" s="417"/>
      <c r="X190" s="417"/>
      <c r="Y190" s="417"/>
      <c r="Z190" s="417"/>
    </row>
    <row r="191" spans="1:26" ht="15.75">
      <c r="A191" s="417"/>
      <c r="B191" s="417"/>
      <c r="C191" s="417"/>
      <c r="D191" s="417"/>
      <c r="E191" s="417"/>
      <c r="F191" s="417"/>
      <c r="G191" s="417"/>
      <c r="H191" s="417"/>
      <c r="I191" s="417"/>
      <c r="J191" s="417"/>
      <c r="K191" s="417"/>
      <c r="L191" s="417"/>
      <c r="M191" s="417"/>
      <c r="N191" s="417"/>
      <c r="O191" s="417"/>
      <c r="P191" s="417"/>
      <c r="Q191" s="417"/>
      <c r="R191" s="417"/>
      <c r="S191" s="417"/>
      <c r="T191" s="417"/>
      <c r="U191" s="417"/>
      <c r="V191" s="417"/>
      <c r="W191" s="417"/>
      <c r="X191" s="417"/>
      <c r="Y191" s="417"/>
      <c r="Z191" s="417"/>
    </row>
    <row r="192" spans="1:26" ht="15.75">
      <c r="A192" s="417"/>
      <c r="B192" s="417"/>
      <c r="C192" s="417"/>
      <c r="D192" s="417"/>
      <c r="E192" s="417"/>
      <c r="F192" s="417"/>
      <c r="G192" s="417"/>
      <c r="H192" s="417"/>
      <c r="I192" s="417"/>
      <c r="J192" s="417"/>
      <c r="K192" s="417"/>
      <c r="L192" s="417"/>
      <c r="M192" s="417"/>
      <c r="N192" s="417"/>
      <c r="O192" s="417"/>
      <c r="P192" s="417"/>
      <c r="Q192" s="417"/>
      <c r="R192" s="417"/>
      <c r="S192" s="417"/>
      <c r="T192" s="417"/>
      <c r="U192" s="417"/>
      <c r="V192" s="417"/>
      <c r="W192" s="417"/>
      <c r="X192" s="417"/>
      <c r="Y192" s="417"/>
      <c r="Z192" s="417"/>
    </row>
    <row r="193" spans="1:26" ht="15.75">
      <c r="A193" s="417"/>
      <c r="B193" s="417"/>
      <c r="C193" s="417"/>
      <c r="D193" s="417"/>
      <c r="E193" s="417"/>
      <c r="F193" s="417"/>
      <c r="G193" s="417"/>
      <c r="H193" s="417"/>
      <c r="I193" s="417"/>
      <c r="J193" s="417"/>
      <c r="K193" s="417"/>
      <c r="L193" s="417"/>
      <c r="M193" s="417"/>
      <c r="N193" s="417"/>
      <c r="O193" s="417"/>
      <c r="P193" s="417"/>
      <c r="Q193" s="417"/>
      <c r="R193" s="417"/>
      <c r="S193" s="417"/>
      <c r="T193" s="417"/>
      <c r="U193" s="417"/>
      <c r="V193" s="417"/>
      <c r="W193" s="417"/>
      <c r="X193" s="417"/>
      <c r="Y193" s="417"/>
      <c r="Z193" s="417"/>
    </row>
    <row r="194" spans="1:26" ht="15.75">
      <c r="A194" s="417"/>
      <c r="B194" s="417"/>
      <c r="C194" s="417"/>
      <c r="D194" s="417"/>
      <c r="E194" s="417"/>
      <c r="F194" s="417"/>
      <c r="G194" s="417"/>
      <c r="H194" s="417"/>
      <c r="I194" s="417"/>
      <c r="J194" s="417"/>
      <c r="K194" s="417"/>
      <c r="L194" s="417"/>
      <c r="M194" s="417"/>
      <c r="N194" s="417"/>
      <c r="O194" s="417"/>
      <c r="P194" s="417"/>
      <c r="Q194" s="417"/>
      <c r="R194" s="417"/>
      <c r="S194" s="417"/>
      <c r="T194" s="417"/>
      <c r="U194" s="417"/>
      <c r="V194" s="417"/>
      <c r="W194" s="417"/>
      <c r="X194" s="417"/>
      <c r="Y194" s="417"/>
      <c r="Z194" s="417"/>
    </row>
    <row r="195" spans="1:26" ht="15.75">
      <c r="A195" s="417"/>
      <c r="B195" s="417"/>
      <c r="C195" s="417"/>
      <c r="D195" s="417"/>
      <c r="E195" s="417"/>
      <c r="F195" s="417"/>
      <c r="G195" s="417"/>
      <c r="H195" s="417"/>
      <c r="I195" s="417"/>
      <c r="J195" s="417"/>
      <c r="K195" s="417"/>
      <c r="L195" s="417"/>
      <c r="M195" s="417"/>
      <c r="N195" s="417"/>
      <c r="O195" s="417"/>
      <c r="P195" s="417"/>
      <c r="Q195" s="417"/>
      <c r="R195" s="417"/>
      <c r="S195" s="417"/>
      <c r="T195" s="417"/>
      <c r="U195" s="417"/>
      <c r="V195" s="417"/>
      <c r="W195" s="417"/>
      <c r="X195" s="417"/>
      <c r="Y195" s="417"/>
      <c r="Z195" s="417"/>
    </row>
    <row r="196" spans="1:26" ht="15.75">
      <c r="A196" s="417"/>
      <c r="B196" s="417"/>
      <c r="C196" s="417"/>
      <c r="D196" s="417"/>
      <c r="E196" s="417"/>
      <c r="F196" s="417"/>
      <c r="G196" s="417"/>
      <c r="H196" s="417"/>
      <c r="I196" s="417"/>
      <c r="J196" s="417"/>
      <c r="K196" s="417"/>
      <c r="L196" s="417"/>
      <c r="M196" s="417"/>
      <c r="N196" s="417"/>
      <c r="O196" s="417"/>
      <c r="P196" s="417"/>
      <c r="Q196" s="417"/>
      <c r="R196" s="417"/>
      <c r="S196" s="417"/>
      <c r="T196" s="417"/>
      <c r="U196" s="417"/>
      <c r="V196" s="417"/>
      <c r="W196" s="417"/>
      <c r="X196" s="417"/>
      <c r="Y196" s="417"/>
      <c r="Z196" s="417"/>
    </row>
    <row r="197" spans="1:26" ht="15.75">
      <c r="A197" s="417"/>
      <c r="B197" s="417"/>
      <c r="C197" s="417"/>
      <c r="D197" s="417"/>
      <c r="E197" s="417"/>
      <c r="F197" s="417"/>
      <c r="G197" s="417"/>
      <c r="H197" s="417"/>
      <c r="I197" s="417"/>
      <c r="J197" s="417"/>
      <c r="K197" s="417"/>
      <c r="L197" s="417"/>
      <c r="M197" s="417"/>
      <c r="N197" s="417"/>
      <c r="O197" s="417"/>
      <c r="P197" s="417"/>
      <c r="Q197" s="417"/>
      <c r="R197" s="417"/>
      <c r="S197" s="417"/>
      <c r="T197" s="417"/>
      <c r="U197" s="417"/>
      <c r="V197" s="417"/>
      <c r="W197" s="417"/>
      <c r="X197" s="417"/>
      <c r="Y197" s="417"/>
      <c r="Z197" s="417"/>
    </row>
    <row r="198" spans="1:26" ht="15.75">
      <c r="A198" s="417"/>
      <c r="B198" s="417"/>
      <c r="C198" s="417"/>
      <c r="D198" s="417"/>
      <c r="E198" s="417"/>
      <c r="F198" s="417"/>
      <c r="G198" s="417"/>
      <c r="H198" s="417"/>
      <c r="I198" s="417"/>
      <c r="J198" s="417"/>
      <c r="K198" s="417"/>
      <c r="L198" s="417"/>
      <c r="M198" s="417"/>
      <c r="N198" s="417"/>
      <c r="O198" s="417"/>
      <c r="P198" s="417"/>
      <c r="Q198" s="417"/>
      <c r="R198" s="417"/>
      <c r="S198" s="417"/>
      <c r="T198" s="417"/>
      <c r="U198" s="417"/>
      <c r="V198" s="417"/>
      <c r="W198" s="417"/>
      <c r="X198" s="417"/>
      <c r="Y198" s="417"/>
      <c r="Z198" s="417"/>
    </row>
    <row r="199" spans="1:26" ht="15.75">
      <c r="A199" s="417"/>
      <c r="B199" s="417"/>
      <c r="C199" s="417"/>
      <c r="D199" s="417"/>
      <c r="E199" s="417"/>
      <c r="F199" s="417"/>
      <c r="G199" s="417"/>
      <c r="H199" s="417"/>
      <c r="I199" s="417"/>
      <c r="J199" s="417"/>
      <c r="K199" s="417"/>
      <c r="L199" s="417"/>
      <c r="M199" s="417"/>
      <c r="N199" s="417"/>
      <c r="O199" s="417"/>
      <c r="P199" s="417"/>
      <c r="Q199" s="417"/>
      <c r="R199" s="417"/>
      <c r="S199" s="417"/>
      <c r="T199" s="417"/>
      <c r="U199" s="417"/>
      <c r="V199" s="417"/>
      <c r="W199" s="417"/>
      <c r="X199" s="417"/>
      <c r="Y199" s="417"/>
      <c r="Z199" s="417"/>
    </row>
    <row r="200" spans="1:26" ht="15.75">
      <c r="A200" s="417"/>
      <c r="B200" s="417"/>
      <c r="C200" s="417"/>
      <c r="D200" s="417"/>
      <c r="E200" s="417"/>
      <c r="F200" s="417"/>
      <c r="G200" s="417"/>
      <c r="H200" s="417"/>
      <c r="I200" s="417"/>
      <c r="J200" s="417"/>
      <c r="K200" s="417"/>
      <c r="L200" s="417"/>
      <c r="M200" s="417"/>
      <c r="N200" s="417"/>
      <c r="O200" s="417"/>
      <c r="P200" s="417"/>
      <c r="Q200" s="417"/>
      <c r="R200" s="417"/>
      <c r="S200" s="417"/>
      <c r="T200" s="417"/>
      <c r="U200" s="417"/>
      <c r="V200" s="417"/>
      <c r="W200" s="417"/>
      <c r="X200" s="417"/>
      <c r="Y200" s="417"/>
      <c r="Z200" s="417"/>
    </row>
    <row r="201" spans="1:26" ht="15.75">
      <c r="A201" s="417"/>
      <c r="B201" s="417"/>
      <c r="C201" s="417"/>
      <c r="D201" s="417"/>
      <c r="E201" s="417"/>
      <c r="F201" s="417"/>
      <c r="G201" s="417"/>
      <c r="H201" s="417"/>
      <c r="I201" s="417"/>
      <c r="J201" s="417"/>
      <c r="K201" s="417"/>
      <c r="L201" s="417"/>
      <c r="M201" s="417"/>
      <c r="N201" s="417"/>
      <c r="O201" s="417"/>
      <c r="P201" s="417"/>
      <c r="Q201" s="417"/>
      <c r="R201" s="417"/>
      <c r="S201" s="417"/>
      <c r="T201" s="417"/>
      <c r="U201" s="417"/>
      <c r="V201" s="417"/>
      <c r="W201" s="417"/>
      <c r="X201" s="417"/>
      <c r="Y201" s="417"/>
      <c r="Z201" s="417"/>
    </row>
    <row r="202" spans="1:26" ht="15.75">
      <c r="A202" s="417"/>
      <c r="B202" s="417"/>
      <c r="C202" s="417"/>
      <c r="D202" s="417"/>
      <c r="E202" s="417"/>
      <c r="F202" s="417"/>
      <c r="G202" s="417"/>
      <c r="H202" s="417"/>
      <c r="I202" s="417"/>
      <c r="J202" s="417"/>
      <c r="K202" s="417"/>
      <c r="L202" s="417"/>
      <c r="M202" s="417"/>
      <c r="N202" s="417"/>
      <c r="O202" s="417"/>
      <c r="P202" s="417"/>
      <c r="Q202" s="417"/>
      <c r="R202" s="417"/>
      <c r="S202" s="417"/>
      <c r="T202" s="417"/>
      <c r="U202" s="417"/>
      <c r="V202" s="417"/>
      <c r="W202" s="417"/>
      <c r="X202" s="417"/>
      <c r="Y202" s="417"/>
      <c r="Z202" s="417"/>
    </row>
    <row r="203" spans="1:26" ht="15.75">
      <c r="A203" s="417"/>
      <c r="B203" s="417"/>
      <c r="C203" s="417"/>
      <c r="D203" s="417"/>
      <c r="E203" s="417"/>
      <c r="F203" s="417"/>
      <c r="G203" s="417"/>
      <c r="H203" s="417"/>
      <c r="I203" s="417"/>
      <c r="J203" s="417"/>
      <c r="K203" s="417"/>
      <c r="L203" s="417"/>
      <c r="M203" s="417"/>
      <c r="N203" s="417"/>
      <c r="O203" s="417"/>
      <c r="P203" s="417"/>
      <c r="Q203" s="417"/>
      <c r="R203" s="417"/>
      <c r="S203" s="417"/>
      <c r="T203" s="417"/>
      <c r="U203" s="417"/>
      <c r="V203" s="417"/>
      <c r="W203" s="417"/>
      <c r="X203" s="417"/>
      <c r="Y203" s="417"/>
      <c r="Z203" s="417"/>
    </row>
    <row r="204" spans="1:26" ht="15.75">
      <c r="A204" s="417"/>
      <c r="B204" s="417"/>
      <c r="C204" s="417"/>
      <c r="D204" s="417"/>
      <c r="E204" s="417"/>
      <c r="F204" s="417"/>
      <c r="G204" s="417"/>
      <c r="H204" s="417"/>
      <c r="I204" s="417"/>
      <c r="J204" s="417"/>
      <c r="K204" s="417"/>
      <c r="L204" s="417"/>
      <c r="M204" s="417"/>
      <c r="N204" s="417"/>
      <c r="O204" s="417"/>
      <c r="P204" s="417"/>
      <c r="Q204" s="417"/>
      <c r="R204" s="417"/>
      <c r="S204" s="417"/>
      <c r="T204" s="417"/>
      <c r="U204" s="417"/>
      <c r="V204" s="417"/>
      <c r="W204" s="417"/>
      <c r="X204" s="417"/>
      <c r="Y204" s="417"/>
      <c r="Z204" s="417"/>
    </row>
    <row r="205" spans="1:26" ht="15.75">
      <c r="A205" s="417"/>
      <c r="B205" s="417"/>
      <c r="C205" s="417"/>
      <c r="D205" s="417"/>
      <c r="E205" s="417"/>
      <c r="F205" s="417"/>
      <c r="G205" s="417"/>
      <c r="H205" s="417"/>
      <c r="I205" s="417"/>
      <c r="J205" s="417"/>
      <c r="K205" s="417"/>
      <c r="L205" s="417"/>
      <c r="M205" s="417"/>
      <c r="N205" s="417"/>
      <c r="O205" s="417"/>
      <c r="P205" s="417"/>
      <c r="Q205" s="417"/>
      <c r="R205" s="417"/>
      <c r="S205" s="417"/>
      <c r="T205" s="417"/>
      <c r="U205" s="417"/>
      <c r="V205" s="417"/>
      <c r="W205" s="417"/>
      <c r="X205" s="417"/>
      <c r="Y205" s="417"/>
      <c r="Z205" s="417"/>
    </row>
    <row r="206" spans="1:26" ht="15.75">
      <c r="A206" s="417"/>
      <c r="B206" s="417"/>
      <c r="C206" s="417"/>
      <c r="D206" s="417"/>
      <c r="E206" s="417"/>
      <c r="F206" s="417"/>
      <c r="G206" s="417"/>
      <c r="H206" s="417"/>
      <c r="I206" s="417"/>
      <c r="J206" s="417"/>
      <c r="K206" s="417"/>
      <c r="L206" s="417"/>
      <c r="M206" s="417"/>
      <c r="N206" s="417"/>
      <c r="O206" s="417"/>
      <c r="P206" s="417"/>
      <c r="Q206" s="417"/>
      <c r="R206" s="417"/>
      <c r="S206" s="417"/>
      <c r="T206" s="417"/>
      <c r="U206" s="417"/>
      <c r="V206" s="417"/>
      <c r="W206" s="417"/>
      <c r="X206" s="417"/>
      <c r="Y206" s="417"/>
      <c r="Z206" s="417"/>
    </row>
    <row r="207" spans="1:26" ht="15.75">
      <c r="A207" s="417"/>
      <c r="B207" s="417"/>
      <c r="C207" s="417"/>
      <c r="D207" s="417"/>
      <c r="E207" s="417"/>
      <c r="F207" s="417"/>
      <c r="G207" s="417"/>
      <c r="H207" s="417"/>
      <c r="I207" s="417"/>
      <c r="J207" s="417"/>
      <c r="K207" s="417"/>
      <c r="L207" s="417"/>
      <c r="M207" s="417"/>
      <c r="N207" s="417"/>
      <c r="O207" s="417"/>
      <c r="P207" s="417"/>
      <c r="Q207" s="417"/>
      <c r="R207" s="417"/>
      <c r="S207" s="417"/>
      <c r="T207" s="417"/>
      <c r="U207" s="417"/>
      <c r="V207" s="417"/>
      <c r="W207" s="417"/>
      <c r="X207" s="417"/>
      <c r="Y207" s="417"/>
      <c r="Z207" s="417"/>
    </row>
    <row r="208" spans="1:26" ht="15.75">
      <c r="A208" s="417"/>
      <c r="B208" s="417"/>
      <c r="C208" s="417"/>
      <c r="D208" s="417"/>
      <c r="E208" s="417"/>
      <c r="F208" s="417"/>
      <c r="G208" s="417"/>
      <c r="H208" s="417"/>
      <c r="I208" s="417"/>
      <c r="J208" s="417"/>
      <c r="K208" s="417"/>
      <c r="L208" s="417"/>
      <c r="M208" s="417"/>
      <c r="N208" s="417"/>
      <c r="O208" s="417"/>
      <c r="P208" s="417"/>
      <c r="Q208" s="417"/>
      <c r="R208" s="417"/>
      <c r="S208" s="417"/>
      <c r="T208" s="417"/>
      <c r="U208" s="417"/>
      <c r="V208" s="417"/>
      <c r="W208" s="417"/>
      <c r="X208" s="417"/>
      <c r="Y208" s="417"/>
      <c r="Z208" s="417"/>
    </row>
    <row r="209" spans="1:26" ht="15.75">
      <c r="A209" s="417"/>
      <c r="B209" s="417"/>
      <c r="C209" s="417"/>
      <c r="D209" s="417"/>
      <c r="E209" s="417"/>
      <c r="F209" s="417"/>
      <c r="G209" s="417"/>
      <c r="H209" s="417"/>
      <c r="I209" s="417"/>
      <c r="J209" s="417"/>
      <c r="K209" s="417"/>
      <c r="L209" s="417"/>
      <c r="M209" s="417"/>
      <c r="N209" s="417"/>
      <c r="O209" s="417"/>
      <c r="P209" s="417"/>
      <c r="Q209" s="417"/>
      <c r="R209" s="417"/>
      <c r="S209" s="417"/>
      <c r="T209" s="417"/>
      <c r="U209" s="417"/>
      <c r="V209" s="417"/>
      <c r="W209" s="417"/>
      <c r="X209" s="417"/>
      <c r="Y209" s="417"/>
      <c r="Z209" s="417"/>
    </row>
    <row r="210" spans="1:26" ht="15.75">
      <c r="A210" s="417"/>
      <c r="B210" s="417"/>
      <c r="C210" s="417"/>
      <c r="D210" s="417"/>
      <c r="E210" s="417"/>
      <c r="F210" s="417"/>
      <c r="G210" s="417"/>
      <c r="H210" s="417"/>
      <c r="I210" s="417"/>
      <c r="J210" s="417"/>
      <c r="K210" s="417"/>
      <c r="L210" s="417"/>
      <c r="M210" s="417"/>
      <c r="N210" s="417"/>
      <c r="O210" s="417"/>
      <c r="P210" s="417"/>
      <c r="Q210" s="417"/>
      <c r="R210" s="417"/>
      <c r="S210" s="417"/>
      <c r="T210" s="417"/>
      <c r="U210" s="417"/>
      <c r="V210" s="417"/>
      <c r="W210" s="417"/>
      <c r="X210" s="417"/>
      <c r="Y210" s="417"/>
      <c r="Z210" s="417"/>
    </row>
    <row r="211" spans="1:26" ht="15.75">
      <c r="A211" s="417"/>
      <c r="B211" s="417"/>
      <c r="C211" s="417"/>
      <c r="D211" s="417"/>
      <c r="E211" s="417"/>
      <c r="F211" s="417"/>
      <c r="G211" s="417"/>
      <c r="H211" s="417"/>
      <c r="I211" s="417"/>
      <c r="J211" s="417"/>
      <c r="K211" s="417"/>
      <c r="L211" s="417"/>
      <c r="M211" s="417"/>
      <c r="N211" s="417"/>
      <c r="O211" s="417"/>
      <c r="P211" s="417"/>
      <c r="Q211" s="417"/>
      <c r="R211" s="417"/>
      <c r="S211" s="417"/>
      <c r="T211" s="417"/>
      <c r="U211" s="417"/>
      <c r="V211" s="417"/>
      <c r="W211" s="417"/>
      <c r="X211" s="417"/>
      <c r="Y211" s="417"/>
      <c r="Z211" s="417"/>
    </row>
    <row r="212" spans="1:26" ht="15.75">
      <c r="A212" s="417"/>
      <c r="B212" s="417"/>
      <c r="C212" s="417"/>
      <c r="D212" s="417"/>
      <c r="E212" s="417"/>
      <c r="F212" s="417"/>
      <c r="G212" s="417"/>
      <c r="H212" s="417"/>
      <c r="I212" s="417"/>
      <c r="J212" s="417"/>
      <c r="K212" s="417"/>
      <c r="L212" s="417"/>
      <c r="M212" s="417"/>
      <c r="N212" s="417"/>
      <c r="O212" s="417"/>
      <c r="P212" s="417"/>
      <c r="Q212" s="417"/>
      <c r="R212" s="417"/>
      <c r="S212" s="417"/>
      <c r="T212" s="417"/>
      <c r="U212" s="417"/>
      <c r="V212" s="417"/>
      <c r="W212" s="417"/>
      <c r="X212" s="417"/>
      <c r="Y212" s="417"/>
      <c r="Z212" s="417"/>
    </row>
    <row r="213" spans="1:26" ht="15.75">
      <c r="A213" s="417"/>
      <c r="B213" s="417"/>
      <c r="C213" s="417"/>
      <c r="D213" s="417"/>
      <c r="E213" s="417"/>
      <c r="F213" s="417"/>
      <c r="G213" s="417"/>
      <c r="H213" s="417"/>
      <c r="I213" s="417"/>
      <c r="J213" s="417"/>
      <c r="K213" s="417"/>
      <c r="L213" s="417"/>
      <c r="M213" s="417"/>
      <c r="N213" s="417"/>
      <c r="O213" s="417"/>
      <c r="P213" s="417"/>
      <c r="Q213" s="417"/>
      <c r="R213" s="417"/>
      <c r="S213" s="417"/>
      <c r="T213" s="417"/>
      <c r="U213" s="417"/>
      <c r="V213" s="417"/>
      <c r="W213" s="417"/>
      <c r="X213" s="417"/>
      <c r="Y213" s="417"/>
      <c r="Z213" s="417"/>
    </row>
    <row r="214" spans="1:26" ht="15.75">
      <c r="A214" s="417"/>
      <c r="B214" s="417"/>
      <c r="C214" s="417"/>
      <c r="D214" s="417"/>
      <c r="E214" s="417"/>
      <c r="F214" s="417"/>
      <c r="G214" s="417"/>
      <c r="H214" s="417"/>
      <c r="I214" s="417"/>
      <c r="J214" s="417"/>
      <c r="K214" s="417"/>
      <c r="L214" s="417"/>
      <c r="M214" s="417"/>
      <c r="N214" s="417"/>
      <c r="O214" s="417"/>
      <c r="P214" s="417"/>
      <c r="Q214" s="417"/>
      <c r="R214" s="417"/>
      <c r="S214" s="417"/>
      <c r="T214" s="417"/>
      <c r="U214" s="417"/>
      <c r="V214" s="417"/>
      <c r="W214" s="417"/>
      <c r="X214" s="417"/>
      <c r="Y214" s="417"/>
      <c r="Z214" s="417"/>
    </row>
    <row r="215" spans="1:26" ht="15.75">
      <c r="A215" s="417"/>
      <c r="B215" s="417"/>
      <c r="C215" s="417"/>
      <c r="D215" s="417"/>
      <c r="E215" s="417"/>
      <c r="F215" s="417"/>
      <c r="G215" s="417"/>
      <c r="H215" s="417"/>
      <c r="I215" s="417"/>
      <c r="J215" s="417"/>
      <c r="K215" s="417"/>
      <c r="L215" s="417"/>
      <c r="M215" s="417"/>
      <c r="N215" s="417"/>
      <c r="O215" s="417"/>
      <c r="P215" s="417"/>
      <c r="Q215" s="417"/>
      <c r="R215" s="417"/>
      <c r="S215" s="417"/>
      <c r="T215" s="417"/>
      <c r="U215" s="417"/>
      <c r="V215" s="417"/>
      <c r="W215" s="417"/>
      <c r="X215" s="417"/>
      <c r="Y215" s="417"/>
      <c r="Z215" s="417"/>
    </row>
    <row r="216" spans="1:26" ht="15.75">
      <c r="A216" s="417"/>
      <c r="B216" s="417"/>
      <c r="C216" s="417"/>
      <c r="D216" s="417"/>
      <c r="E216" s="417"/>
      <c r="F216" s="417"/>
      <c r="G216" s="417"/>
      <c r="H216" s="417"/>
      <c r="I216" s="417"/>
      <c r="J216" s="417"/>
      <c r="K216" s="417"/>
      <c r="L216" s="417"/>
      <c r="M216" s="417"/>
      <c r="N216" s="417"/>
      <c r="O216" s="417"/>
      <c r="P216" s="417"/>
      <c r="Q216" s="417"/>
      <c r="R216" s="417"/>
      <c r="S216" s="417"/>
      <c r="T216" s="417"/>
      <c r="U216" s="417"/>
      <c r="V216" s="417"/>
      <c r="W216" s="417"/>
      <c r="X216" s="417"/>
      <c r="Y216" s="417"/>
      <c r="Z216" s="417"/>
    </row>
    <row r="217" spans="1:26" ht="15.75">
      <c r="A217" s="417"/>
      <c r="B217" s="417"/>
      <c r="C217" s="417"/>
      <c r="D217" s="417"/>
      <c r="E217" s="417"/>
      <c r="F217" s="417"/>
      <c r="G217" s="417"/>
      <c r="H217" s="417"/>
      <c r="I217" s="417"/>
      <c r="J217" s="417"/>
      <c r="K217" s="417"/>
      <c r="L217" s="417"/>
      <c r="M217" s="417"/>
      <c r="N217" s="417"/>
      <c r="O217" s="417"/>
      <c r="P217" s="417"/>
      <c r="Q217" s="417"/>
      <c r="R217" s="417"/>
      <c r="S217" s="417"/>
      <c r="T217" s="417"/>
      <c r="U217" s="417"/>
      <c r="V217" s="417"/>
      <c r="W217" s="417"/>
      <c r="X217" s="417"/>
      <c r="Y217" s="417"/>
      <c r="Z217" s="417"/>
    </row>
    <row r="218" spans="1:26" ht="15.75">
      <c r="A218" s="417"/>
      <c r="B218" s="417"/>
      <c r="C218" s="417"/>
      <c r="D218" s="417"/>
      <c r="E218" s="417"/>
      <c r="F218" s="417"/>
      <c r="G218" s="417"/>
      <c r="H218" s="417"/>
      <c r="I218" s="417"/>
      <c r="J218" s="417"/>
      <c r="K218" s="417"/>
      <c r="L218" s="417"/>
      <c r="M218" s="417"/>
      <c r="N218" s="417"/>
      <c r="O218" s="417"/>
      <c r="P218" s="417"/>
      <c r="Q218" s="417"/>
      <c r="R218" s="417"/>
      <c r="S218" s="417"/>
      <c r="T218" s="417"/>
      <c r="U218" s="417"/>
      <c r="V218" s="417"/>
      <c r="W218" s="417"/>
      <c r="X218" s="417"/>
      <c r="Y218" s="417"/>
      <c r="Z218" s="417"/>
    </row>
    <row r="219" spans="1:26" ht="15.75">
      <c r="A219" s="417"/>
      <c r="B219" s="417"/>
      <c r="C219" s="417"/>
      <c r="D219" s="417"/>
      <c r="E219" s="417"/>
      <c r="F219" s="417"/>
      <c r="G219" s="417"/>
      <c r="H219" s="417"/>
      <c r="I219" s="417"/>
      <c r="J219" s="417"/>
      <c r="K219" s="417"/>
      <c r="L219" s="417"/>
      <c r="M219" s="417"/>
      <c r="N219" s="417"/>
      <c r="O219" s="417"/>
      <c r="P219" s="417"/>
      <c r="Q219" s="417"/>
      <c r="R219" s="417"/>
      <c r="S219" s="417"/>
      <c r="T219" s="417"/>
      <c r="U219" s="417"/>
      <c r="V219" s="417"/>
      <c r="W219" s="417"/>
      <c r="X219" s="417"/>
      <c r="Y219" s="417"/>
      <c r="Z219" s="417"/>
    </row>
    <row r="220" spans="1:26" ht="15.75">
      <c r="A220" s="417"/>
      <c r="B220" s="417"/>
      <c r="C220" s="417"/>
      <c r="D220" s="417"/>
      <c r="E220" s="417"/>
      <c r="F220" s="417"/>
      <c r="G220" s="417"/>
      <c r="H220" s="417"/>
      <c r="I220" s="417"/>
      <c r="J220" s="417"/>
      <c r="K220" s="417"/>
      <c r="L220" s="417"/>
      <c r="M220" s="417"/>
      <c r="N220" s="417"/>
      <c r="O220" s="417"/>
      <c r="P220" s="417"/>
      <c r="Q220" s="417"/>
      <c r="R220" s="417"/>
      <c r="S220" s="417"/>
      <c r="T220" s="417"/>
      <c r="U220" s="417"/>
      <c r="V220" s="417"/>
      <c r="W220" s="417"/>
      <c r="X220" s="417"/>
      <c r="Y220" s="417"/>
      <c r="Z220" s="417"/>
    </row>
    <row r="221" spans="1:26" ht="15.75">
      <c r="A221" s="417"/>
      <c r="B221" s="417"/>
      <c r="C221" s="417"/>
      <c r="D221" s="417"/>
      <c r="E221" s="417"/>
      <c r="F221" s="417"/>
      <c r="G221" s="417"/>
      <c r="H221" s="417"/>
      <c r="I221" s="417"/>
      <c r="J221" s="417"/>
      <c r="K221" s="417"/>
      <c r="L221" s="417"/>
      <c r="M221" s="417"/>
      <c r="N221" s="417"/>
      <c r="O221" s="417"/>
      <c r="P221" s="417"/>
      <c r="Q221" s="417"/>
      <c r="R221" s="417"/>
      <c r="S221" s="417"/>
      <c r="T221" s="417"/>
      <c r="U221" s="417"/>
      <c r="V221" s="417"/>
      <c r="W221" s="417"/>
      <c r="X221" s="417"/>
      <c r="Y221" s="417"/>
      <c r="Z221" s="417"/>
    </row>
    <row r="222" spans="1:26" ht="15.75">
      <c r="A222" s="417"/>
      <c r="B222" s="417"/>
      <c r="C222" s="417"/>
      <c r="D222" s="417"/>
      <c r="E222" s="417"/>
      <c r="F222" s="417"/>
      <c r="G222" s="417"/>
      <c r="H222" s="417"/>
      <c r="I222" s="417"/>
      <c r="J222" s="417"/>
      <c r="K222" s="417"/>
      <c r="L222" s="417"/>
      <c r="M222" s="417"/>
      <c r="N222" s="417"/>
      <c r="O222" s="417"/>
      <c r="P222" s="417"/>
      <c r="Q222" s="417"/>
      <c r="R222" s="417"/>
      <c r="S222" s="417"/>
      <c r="T222" s="417"/>
      <c r="U222" s="417"/>
      <c r="V222" s="417"/>
      <c r="W222" s="417"/>
      <c r="X222" s="417"/>
      <c r="Y222" s="417"/>
      <c r="Z222" s="417"/>
    </row>
    <row r="223" spans="1:26" ht="15.75">
      <c r="A223" s="417"/>
      <c r="B223" s="417"/>
      <c r="C223" s="417"/>
      <c r="D223" s="417"/>
      <c r="E223" s="417"/>
      <c r="F223" s="417"/>
      <c r="G223" s="417"/>
      <c r="H223" s="417"/>
      <c r="I223" s="417"/>
      <c r="J223" s="417"/>
      <c r="K223" s="417"/>
      <c r="L223" s="417"/>
      <c r="M223" s="417"/>
      <c r="N223" s="417"/>
      <c r="O223" s="417"/>
      <c r="P223" s="417"/>
      <c r="Q223" s="417"/>
      <c r="R223" s="417"/>
      <c r="S223" s="417"/>
      <c r="T223" s="417"/>
      <c r="U223" s="417"/>
      <c r="V223" s="417"/>
      <c r="W223" s="417"/>
      <c r="X223" s="417"/>
      <c r="Y223" s="417"/>
      <c r="Z223" s="417"/>
    </row>
    <row r="224" spans="1:26" ht="15.75">
      <c r="A224" s="417"/>
      <c r="B224" s="417"/>
      <c r="C224" s="417"/>
      <c r="D224" s="417"/>
      <c r="E224" s="417"/>
      <c r="F224" s="417"/>
      <c r="G224" s="417"/>
      <c r="H224" s="417"/>
      <c r="I224" s="417"/>
      <c r="J224" s="417"/>
      <c r="K224" s="417"/>
      <c r="L224" s="417"/>
      <c r="M224" s="417"/>
      <c r="N224" s="417"/>
      <c r="O224" s="417"/>
      <c r="P224" s="417"/>
      <c r="Q224" s="417"/>
      <c r="R224" s="417"/>
      <c r="S224" s="417"/>
      <c r="T224" s="417"/>
      <c r="U224" s="417"/>
      <c r="V224" s="417"/>
      <c r="W224" s="417"/>
      <c r="X224" s="417"/>
      <c r="Y224" s="417"/>
      <c r="Z224" s="417"/>
    </row>
    <row r="225" spans="1:26" ht="15.75">
      <c r="A225" s="417"/>
      <c r="B225" s="417"/>
      <c r="C225" s="417"/>
      <c r="D225" s="417"/>
      <c r="E225" s="417"/>
      <c r="F225" s="417"/>
      <c r="G225" s="417"/>
      <c r="H225" s="417"/>
      <c r="I225" s="417"/>
      <c r="J225" s="417"/>
      <c r="K225" s="417"/>
      <c r="L225" s="417"/>
      <c r="M225" s="417"/>
      <c r="N225" s="417"/>
      <c r="O225" s="417"/>
      <c r="P225" s="417"/>
      <c r="Q225" s="417"/>
      <c r="R225" s="417"/>
      <c r="S225" s="417"/>
      <c r="T225" s="417"/>
      <c r="U225" s="417"/>
      <c r="V225" s="417"/>
      <c r="W225" s="417"/>
      <c r="X225" s="417"/>
      <c r="Y225" s="417"/>
      <c r="Z225" s="417"/>
    </row>
    <row r="226" spans="1:26" ht="15.75">
      <c r="A226" s="417"/>
      <c r="B226" s="417"/>
      <c r="C226" s="417"/>
      <c r="D226" s="417"/>
      <c r="E226" s="417"/>
      <c r="F226" s="417"/>
      <c r="G226" s="417"/>
      <c r="H226" s="417"/>
      <c r="I226" s="417"/>
      <c r="J226" s="417"/>
      <c r="K226" s="417"/>
      <c r="L226" s="417"/>
      <c r="M226" s="417"/>
      <c r="N226" s="417"/>
      <c r="O226" s="417"/>
      <c r="P226" s="417"/>
      <c r="Q226" s="417"/>
      <c r="R226" s="417"/>
      <c r="S226" s="417"/>
      <c r="T226" s="417"/>
      <c r="U226" s="417"/>
      <c r="V226" s="417"/>
      <c r="W226" s="417"/>
      <c r="X226" s="417"/>
      <c r="Y226" s="417"/>
      <c r="Z226" s="417"/>
    </row>
    <row r="227" spans="1:26" ht="15.75">
      <c r="A227" s="417"/>
      <c r="B227" s="417"/>
      <c r="C227" s="417"/>
      <c r="D227" s="417"/>
      <c r="E227" s="417"/>
      <c r="F227" s="417"/>
      <c r="G227" s="417"/>
      <c r="H227" s="417"/>
      <c r="I227" s="417"/>
      <c r="J227" s="417"/>
      <c r="K227" s="417"/>
      <c r="L227" s="417"/>
      <c r="M227" s="417"/>
      <c r="N227" s="417"/>
      <c r="O227" s="417"/>
      <c r="P227" s="417"/>
      <c r="Q227" s="417"/>
      <c r="R227" s="417"/>
      <c r="S227" s="417"/>
      <c r="T227" s="417"/>
      <c r="U227" s="417"/>
      <c r="V227" s="417"/>
      <c r="W227" s="417"/>
      <c r="X227" s="417"/>
      <c r="Y227" s="417"/>
      <c r="Z227" s="417"/>
    </row>
    <row r="228" spans="1:26" ht="15.75">
      <c r="A228" s="417"/>
      <c r="B228" s="417"/>
      <c r="C228" s="417"/>
      <c r="D228" s="417"/>
      <c r="E228" s="417"/>
      <c r="F228" s="417"/>
      <c r="G228" s="417"/>
      <c r="H228" s="417"/>
      <c r="I228" s="417"/>
      <c r="J228" s="417"/>
      <c r="K228" s="417"/>
      <c r="L228" s="417"/>
      <c r="M228" s="417"/>
      <c r="N228" s="417"/>
      <c r="O228" s="417"/>
      <c r="P228" s="417"/>
      <c r="Q228" s="417"/>
      <c r="R228" s="417"/>
      <c r="S228" s="417"/>
      <c r="T228" s="417"/>
      <c r="U228" s="417"/>
      <c r="V228" s="417"/>
      <c r="W228" s="417"/>
      <c r="X228" s="417"/>
      <c r="Y228" s="417"/>
      <c r="Z228" s="417"/>
    </row>
    <row r="229" spans="1:26" ht="15.75">
      <c r="A229" s="417"/>
      <c r="B229" s="417"/>
      <c r="C229" s="417"/>
      <c r="D229" s="417"/>
      <c r="E229" s="417"/>
      <c r="F229" s="417"/>
      <c r="G229" s="417"/>
      <c r="H229" s="417"/>
      <c r="I229" s="417"/>
      <c r="J229" s="417"/>
      <c r="K229" s="417"/>
      <c r="L229" s="417"/>
      <c r="M229" s="417"/>
      <c r="N229" s="417"/>
      <c r="O229" s="417"/>
      <c r="P229" s="417"/>
      <c r="Q229" s="417"/>
      <c r="R229" s="417"/>
      <c r="S229" s="417"/>
      <c r="T229" s="417"/>
      <c r="U229" s="417"/>
      <c r="V229" s="417"/>
      <c r="W229" s="417"/>
      <c r="X229" s="417"/>
      <c r="Y229" s="417"/>
      <c r="Z229" s="417"/>
    </row>
    <row r="230" spans="1:26" ht="15.75">
      <c r="A230" s="417"/>
      <c r="B230" s="417"/>
      <c r="C230" s="417"/>
      <c r="D230" s="417"/>
      <c r="E230" s="417"/>
      <c r="F230" s="417"/>
      <c r="G230" s="417"/>
      <c r="H230" s="417"/>
      <c r="I230" s="417"/>
      <c r="J230" s="417"/>
      <c r="K230" s="417"/>
      <c r="L230" s="417"/>
      <c r="M230" s="417"/>
      <c r="N230" s="417"/>
      <c r="O230" s="417"/>
      <c r="P230" s="417"/>
      <c r="Q230" s="417"/>
      <c r="R230" s="417"/>
      <c r="S230" s="417"/>
      <c r="T230" s="417"/>
      <c r="U230" s="417"/>
      <c r="V230" s="417"/>
      <c r="W230" s="417"/>
      <c r="X230" s="417"/>
      <c r="Y230" s="417"/>
      <c r="Z230" s="417"/>
    </row>
    <row r="231" spans="1:26" ht="15.75">
      <c r="A231" s="417"/>
      <c r="B231" s="417"/>
      <c r="C231" s="417"/>
      <c r="D231" s="417"/>
      <c r="E231" s="417"/>
      <c r="F231" s="417"/>
      <c r="G231" s="417"/>
      <c r="H231" s="417"/>
      <c r="I231" s="417"/>
      <c r="J231" s="417"/>
      <c r="K231" s="417"/>
      <c r="L231" s="417"/>
      <c r="M231" s="417"/>
      <c r="N231" s="417"/>
      <c r="O231" s="417"/>
      <c r="P231" s="417"/>
      <c r="Q231" s="417"/>
      <c r="R231" s="417"/>
      <c r="S231" s="417"/>
      <c r="T231" s="417"/>
      <c r="U231" s="417"/>
      <c r="V231" s="417"/>
      <c r="W231" s="417"/>
      <c r="X231" s="417"/>
      <c r="Y231" s="417"/>
      <c r="Z231" s="417"/>
    </row>
    <row r="232" spans="1:26" ht="15.75">
      <c r="A232" s="417"/>
      <c r="B232" s="417"/>
      <c r="C232" s="417"/>
      <c r="D232" s="417"/>
      <c r="E232" s="417"/>
      <c r="F232" s="417"/>
      <c r="G232" s="417"/>
      <c r="H232" s="417"/>
      <c r="I232" s="417"/>
      <c r="J232" s="417"/>
      <c r="K232" s="417"/>
      <c r="L232" s="417"/>
      <c r="M232" s="417"/>
      <c r="N232" s="417"/>
      <c r="O232" s="417"/>
      <c r="P232" s="417"/>
      <c r="Q232" s="417"/>
      <c r="R232" s="417"/>
      <c r="S232" s="417"/>
      <c r="T232" s="417"/>
      <c r="U232" s="417"/>
      <c r="V232" s="417"/>
      <c r="W232" s="417"/>
      <c r="X232" s="417"/>
      <c r="Y232" s="417"/>
      <c r="Z232" s="417"/>
    </row>
    <row r="233" spans="1:26" ht="15.75">
      <c r="A233" s="417"/>
      <c r="B233" s="417"/>
      <c r="C233" s="417"/>
      <c r="D233" s="417"/>
      <c r="E233" s="417"/>
      <c r="F233" s="417"/>
      <c r="G233" s="417"/>
      <c r="H233" s="417"/>
      <c r="I233" s="417"/>
      <c r="J233" s="417"/>
      <c r="K233" s="417"/>
      <c r="L233" s="417"/>
      <c r="M233" s="417"/>
      <c r="N233" s="417"/>
      <c r="O233" s="417"/>
      <c r="P233" s="417"/>
      <c r="Q233" s="417"/>
      <c r="R233" s="417"/>
      <c r="S233" s="417"/>
      <c r="T233" s="417"/>
      <c r="U233" s="417"/>
      <c r="V233" s="417"/>
      <c r="W233" s="417"/>
      <c r="X233" s="417"/>
      <c r="Y233" s="417"/>
      <c r="Z233" s="417"/>
    </row>
    <row r="234" spans="1:26" ht="15.75">
      <c r="A234" s="417"/>
      <c r="B234" s="417"/>
      <c r="C234" s="417"/>
      <c r="D234" s="417"/>
      <c r="E234" s="417"/>
      <c r="F234" s="417"/>
      <c r="G234" s="417"/>
      <c r="H234" s="417"/>
      <c r="I234" s="417"/>
      <c r="J234" s="417"/>
      <c r="K234" s="417"/>
      <c r="L234" s="417"/>
      <c r="M234" s="417"/>
      <c r="N234" s="417"/>
      <c r="O234" s="417"/>
      <c r="P234" s="417"/>
      <c r="Q234" s="417"/>
      <c r="R234" s="417"/>
      <c r="S234" s="417"/>
      <c r="T234" s="417"/>
      <c r="U234" s="417"/>
      <c r="V234" s="417"/>
      <c r="W234" s="417"/>
      <c r="X234" s="417"/>
      <c r="Y234" s="417"/>
      <c r="Z234" s="417"/>
    </row>
    <row r="235" spans="1:26" ht="15.75">
      <c r="A235" s="417"/>
      <c r="B235" s="417"/>
      <c r="C235" s="417"/>
      <c r="D235" s="417"/>
      <c r="E235" s="417"/>
      <c r="F235" s="417"/>
      <c r="G235" s="417"/>
      <c r="H235" s="417"/>
      <c r="I235" s="417"/>
      <c r="J235" s="417"/>
      <c r="K235" s="417"/>
      <c r="L235" s="417"/>
      <c r="M235" s="417"/>
      <c r="N235" s="417"/>
      <c r="O235" s="417"/>
      <c r="P235" s="417"/>
      <c r="Q235" s="417"/>
      <c r="R235" s="417"/>
      <c r="S235" s="417"/>
      <c r="T235" s="417"/>
      <c r="U235" s="417"/>
      <c r="V235" s="417"/>
      <c r="W235" s="417"/>
      <c r="X235" s="417"/>
      <c r="Y235" s="417"/>
      <c r="Z235" s="417"/>
    </row>
    <row r="236" spans="1:26" ht="15.75">
      <c r="A236" s="417"/>
      <c r="B236" s="417"/>
      <c r="C236" s="417"/>
      <c r="D236" s="417"/>
      <c r="E236" s="417"/>
      <c r="F236" s="417"/>
      <c r="G236" s="417"/>
      <c r="H236" s="417"/>
      <c r="I236" s="417"/>
      <c r="J236" s="417"/>
      <c r="K236" s="417"/>
      <c r="L236" s="417"/>
      <c r="M236" s="417"/>
      <c r="N236" s="417"/>
      <c r="O236" s="417"/>
      <c r="P236" s="417"/>
      <c r="Q236" s="417"/>
      <c r="R236" s="417"/>
      <c r="S236" s="417"/>
      <c r="T236" s="417"/>
      <c r="U236" s="417"/>
      <c r="V236" s="417"/>
      <c r="W236" s="417"/>
      <c r="X236" s="417"/>
      <c r="Y236" s="417"/>
      <c r="Z236" s="417"/>
    </row>
    <row r="237" spans="1:26" ht="15.75">
      <c r="A237" s="417"/>
      <c r="B237" s="417"/>
      <c r="C237" s="417"/>
      <c r="D237" s="417"/>
      <c r="E237" s="417"/>
      <c r="F237" s="417"/>
      <c r="G237" s="417"/>
      <c r="H237" s="417"/>
      <c r="I237" s="417"/>
      <c r="J237" s="417"/>
      <c r="K237" s="417"/>
      <c r="L237" s="417"/>
      <c r="M237" s="417"/>
      <c r="N237" s="417"/>
      <c r="O237" s="417"/>
      <c r="P237" s="417"/>
      <c r="Q237" s="417"/>
      <c r="R237" s="417"/>
      <c r="S237" s="417"/>
      <c r="T237" s="417"/>
      <c r="U237" s="417"/>
      <c r="V237" s="417"/>
      <c r="W237" s="417"/>
      <c r="X237" s="417"/>
      <c r="Y237" s="417"/>
      <c r="Z237" s="417"/>
    </row>
    <row r="238" spans="1:26" ht="15.75">
      <c r="A238" s="417"/>
      <c r="B238" s="417"/>
      <c r="C238" s="417"/>
      <c r="D238" s="417"/>
      <c r="E238" s="417"/>
      <c r="F238" s="417"/>
      <c r="G238" s="417"/>
      <c r="H238" s="417"/>
      <c r="I238" s="417"/>
      <c r="J238" s="417"/>
      <c r="K238" s="417"/>
      <c r="L238" s="417"/>
      <c r="M238" s="417"/>
      <c r="N238" s="417"/>
      <c r="O238" s="417"/>
      <c r="P238" s="417"/>
      <c r="Q238" s="417"/>
      <c r="R238" s="417"/>
      <c r="S238" s="417"/>
      <c r="T238" s="417"/>
      <c r="U238" s="417"/>
      <c r="V238" s="417"/>
      <c r="W238" s="417"/>
      <c r="X238" s="417"/>
      <c r="Y238" s="417"/>
      <c r="Z238" s="417"/>
    </row>
    <row r="239" spans="1:26" ht="15.75">
      <c r="A239" s="417"/>
      <c r="B239" s="417"/>
      <c r="C239" s="417"/>
      <c r="D239" s="417"/>
      <c r="E239" s="417"/>
      <c r="F239" s="417"/>
      <c r="G239" s="417"/>
      <c r="H239" s="417"/>
      <c r="I239" s="417"/>
      <c r="J239" s="417"/>
      <c r="K239" s="417"/>
      <c r="L239" s="417"/>
      <c r="M239" s="417"/>
      <c r="N239" s="417"/>
      <c r="O239" s="417"/>
      <c r="P239" s="417"/>
      <c r="Q239" s="417"/>
      <c r="R239" s="417"/>
      <c r="S239" s="417"/>
      <c r="T239" s="417"/>
      <c r="U239" s="417"/>
      <c r="V239" s="417"/>
      <c r="W239" s="417"/>
      <c r="X239" s="417"/>
      <c r="Y239" s="417"/>
      <c r="Z239" s="417"/>
    </row>
    <row r="240" spans="1:26" ht="15.75">
      <c r="A240" s="417"/>
      <c r="B240" s="417"/>
      <c r="C240" s="417"/>
      <c r="D240" s="417"/>
      <c r="E240" s="417"/>
      <c r="F240" s="417"/>
      <c r="G240" s="417"/>
      <c r="H240" s="417"/>
      <c r="I240" s="417"/>
      <c r="J240" s="417"/>
      <c r="K240" s="417"/>
      <c r="L240" s="417"/>
      <c r="M240" s="417"/>
      <c r="N240" s="417"/>
      <c r="O240" s="417"/>
      <c r="P240" s="417"/>
      <c r="Q240" s="417"/>
      <c r="R240" s="417"/>
      <c r="S240" s="417"/>
      <c r="T240" s="417"/>
      <c r="U240" s="417"/>
      <c r="V240" s="417"/>
      <c r="W240" s="417"/>
      <c r="X240" s="417"/>
      <c r="Y240" s="417"/>
      <c r="Z240" s="417"/>
    </row>
    <row r="241" spans="1:26" ht="15.75">
      <c r="A241" s="417"/>
      <c r="B241" s="417"/>
      <c r="C241" s="417"/>
      <c r="D241" s="417"/>
      <c r="E241" s="417"/>
      <c r="F241" s="417"/>
      <c r="G241" s="417"/>
      <c r="H241" s="417"/>
      <c r="I241" s="417"/>
      <c r="J241" s="417"/>
      <c r="K241" s="417"/>
      <c r="L241" s="417"/>
      <c r="M241" s="417"/>
      <c r="N241" s="417"/>
      <c r="O241" s="417"/>
      <c r="P241" s="417"/>
      <c r="Q241" s="417"/>
      <c r="R241" s="417"/>
      <c r="S241" s="417"/>
      <c r="T241" s="417"/>
      <c r="U241" s="417"/>
      <c r="V241" s="417"/>
      <c r="W241" s="417"/>
      <c r="X241" s="417"/>
      <c r="Y241" s="417"/>
      <c r="Z241" s="417"/>
    </row>
    <row r="242" spans="1:26" ht="15.75">
      <c r="A242" s="417"/>
      <c r="B242" s="417"/>
      <c r="C242" s="417"/>
      <c r="D242" s="417"/>
      <c r="E242" s="417"/>
      <c r="F242" s="417"/>
      <c r="G242" s="417"/>
      <c r="H242" s="417"/>
      <c r="I242" s="417"/>
      <c r="J242" s="417"/>
      <c r="K242" s="417"/>
      <c r="L242" s="417"/>
      <c r="M242" s="417"/>
      <c r="N242" s="417"/>
      <c r="O242" s="417"/>
      <c r="P242" s="417"/>
      <c r="Q242" s="417"/>
      <c r="R242" s="417"/>
      <c r="S242" s="417"/>
      <c r="T242" s="417"/>
      <c r="U242" s="417"/>
      <c r="V242" s="417"/>
      <c r="W242" s="417"/>
      <c r="X242" s="417"/>
      <c r="Y242" s="417"/>
      <c r="Z242" s="417"/>
    </row>
    <row r="243" spans="1:26" ht="15.75">
      <c r="A243" s="417"/>
      <c r="B243" s="417"/>
      <c r="C243" s="417"/>
      <c r="D243" s="417"/>
      <c r="E243" s="417"/>
      <c r="F243" s="417"/>
      <c r="G243" s="417"/>
      <c r="H243" s="417"/>
      <c r="I243" s="417"/>
      <c r="J243" s="417"/>
      <c r="K243" s="417"/>
      <c r="L243" s="417"/>
      <c r="M243" s="417"/>
      <c r="N243" s="417"/>
      <c r="O243" s="417"/>
      <c r="P243" s="417"/>
      <c r="Q243" s="417"/>
      <c r="R243" s="417"/>
      <c r="S243" s="417"/>
      <c r="T243" s="417"/>
      <c r="U243" s="417"/>
      <c r="V243" s="417"/>
      <c r="W243" s="417"/>
      <c r="X243" s="417"/>
      <c r="Y243" s="417"/>
      <c r="Z243" s="417"/>
    </row>
    <row r="244" spans="1:26" ht="15.75">
      <c r="A244" s="417"/>
      <c r="B244" s="417"/>
      <c r="C244" s="417"/>
      <c r="D244" s="417"/>
      <c r="E244" s="417"/>
      <c r="F244" s="417"/>
      <c r="G244" s="417"/>
      <c r="H244" s="417"/>
      <c r="I244" s="417"/>
      <c r="J244" s="417"/>
      <c r="K244" s="417"/>
      <c r="L244" s="417"/>
      <c r="M244" s="417"/>
      <c r="N244" s="417"/>
      <c r="O244" s="417"/>
      <c r="P244" s="417"/>
      <c r="Q244" s="417"/>
      <c r="R244" s="417"/>
      <c r="S244" s="417"/>
      <c r="T244" s="417"/>
      <c r="U244" s="417"/>
      <c r="V244" s="417"/>
      <c r="W244" s="417"/>
      <c r="X244" s="417"/>
      <c r="Y244" s="417"/>
      <c r="Z244" s="417"/>
    </row>
    <row r="245" spans="1:26" ht="15.75">
      <c r="A245" s="417"/>
      <c r="B245" s="417"/>
      <c r="C245" s="417"/>
      <c r="D245" s="417"/>
      <c r="E245" s="417"/>
      <c r="F245" s="417"/>
      <c r="G245" s="417"/>
      <c r="H245" s="417"/>
      <c r="I245" s="417"/>
      <c r="J245" s="417"/>
      <c r="K245" s="417"/>
      <c r="L245" s="417"/>
      <c r="M245" s="417"/>
      <c r="N245" s="417"/>
      <c r="O245" s="417"/>
      <c r="P245" s="417"/>
      <c r="Q245" s="417"/>
      <c r="R245" s="417"/>
      <c r="S245" s="417"/>
      <c r="T245" s="417"/>
      <c r="U245" s="417"/>
      <c r="V245" s="417"/>
      <c r="W245" s="417"/>
      <c r="X245" s="417"/>
      <c r="Y245" s="417"/>
      <c r="Z245" s="417"/>
    </row>
    <row r="246" spans="1:26" ht="15.75">
      <c r="A246" s="417"/>
      <c r="B246" s="417"/>
      <c r="C246" s="417"/>
      <c r="D246" s="417"/>
      <c r="E246" s="417"/>
      <c r="F246" s="417"/>
      <c r="G246" s="417"/>
      <c r="H246" s="417"/>
      <c r="I246" s="417"/>
      <c r="J246" s="417"/>
      <c r="K246" s="417"/>
      <c r="L246" s="417"/>
      <c r="M246" s="417"/>
      <c r="N246" s="417"/>
      <c r="O246" s="417"/>
      <c r="P246" s="417"/>
      <c r="Q246" s="417"/>
      <c r="R246" s="417"/>
      <c r="S246" s="417"/>
      <c r="T246" s="417"/>
      <c r="U246" s="417"/>
      <c r="V246" s="417"/>
      <c r="W246" s="417"/>
      <c r="X246" s="417"/>
      <c r="Y246" s="417"/>
      <c r="Z246" s="417"/>
    </row>
    <row r="247" spans="1:26" ht="15.75">
      <c r="A247" s="417"/>
      <c r="B247" s="417"/>
      <c r="C247" s="417"/>
      <c r="D247" s="417"/>
      <c r="E247" s="417"/>
      <c r="F247" s="417"/>
      <c r="G247" s="417"/>
      <c r="H247" s="417"/>
      <c r="I247" s="417"/>
      <c r="J247" s="417"/>
      <c r="K247" s="417"/>
      <c r="L247" s="417"/>
      <c r="M247" s="417"/>
      <c r="N247" s="417"/>
      <c r="O247" s="417"/>
      <c r="P247" s="417"/>
      <c r="Q247" s="417"/>
      <c r="R247" s="417"/>
      <c r="S247" s="417"/>
      <c r="T247" s="417"/>
      <c r="U247" s="417"/>
      <c r="V247" s="417"/>
      <c r="W247" s="417"/>
      <c r="X247" s="417"/>
      <c r="Y247" s="417"/>
      <c r="Z247" s="417"/>
    </row>
    <row r="248" spans="1:26" ht="15.75">
      <c r="A248" s="417"/>
      <c r="B248" s="417"/>
      <c r="C248" s="417"/>
      <c r="D248" s="417"/>
      <c r="E248" s="417"/>
      <c r="F248" s="417"/>
      <c r="G248" s="417"/>
      <c r="H248" s="417"/>
      <c r="I248" s="417"/>
      <c r="J248" s="417"/>
      <c r="K248" s="417"/>
      <c r="L248" s="417"/>
      <c r="M248" s="417"/>
      <c r="N248" s="417"/>
      <c r="O248" s="417"/>
      <c r="P248" s="417"/>
      <c r="Q248" s="417"/>
      <c r="R248" s="417"/>
      <c r="S248" s="417"/>
      <c r="T248" s="417"/>
      <c r="U248" s="417"/>
      <c r="V248" s="417"/>
      <c r="W248" s="417"/>
      <c r="X248" s="417"/>
      <c r="Y248" s="417"/>
      <c r="Z248" s="417"/>
    </row>
    <row r="249" spans="1:26" ht="15.75">
      <c r="A249" s="417"/>
      <c r="B249" s="417"/>
      <c r="C249" s="417"/>
      <c r="D249" s="417"/>
      <c r="E249" s="417"/>
      <c r="F249" s="417"/>
      <c r="G249" s="417"/>
      <c r="H249" s="417"/>
      <c r="I249" s="417"/>
      <c r="J249" s="417"/>
      <c r="K249" s="417"/>
      <c r="L249" s="417"/>
      <c r="M249" s="417"/>
      <c r="N249" s="417"/>
      <c r="O249" s="417"/>
      <c r="P249" s="417"/>
      <c r="Q249" s="417"/>
      <c r="R249" s="417"/>
      <c r="S249" s="417"/>
      <c r="T249" s="417"/>
      <c r="U249" s="417"/>
      <c r="V249" s="417"/>
      <c r="W249" s="417"/>
      <c r="X249" s="417"/>
      <c r="Y249" s="417"/>
      <c r="Z249" s="417"/>
    </row>
    <row r="250" spans="1:26" ht="15.75">
      <c r="A250" s="417"/>
      <c r="B250" s="417"/>
      <c r="C250" s="417"/>
      <c r="D250" s="417"/>
      <c r="E250" s="417"/>
      <c r="F250" s="417"/>
      <c r="G250" s="417"/>
      <c r="H250" s="417"/>
      <c r="I250" s="417"/>
      <c r="J250" s="417"/>
      <c r="K250" s="417"/>
      <c r="L250" s="417"/>
      <c r="M250" s="417"/>
      <c r="N250" s="417"/>
      <c r="O250" s="417"/>
      <c r="P250" s="417"/>
      <c r="Q250" s="417"/>
      <c r="R250" s="417"/>
      <c r="S250" s="417"/>
      <c r="T250" s="417"/>
      <c r="U250" s="417"/>
      <c r="V250" s="417"/>
      <c r="W250" s="417"/>
      <c r="X250" s="417"/>
      <c r="Y250" s="417"/>
      <c r="Z250" s="417"/>
    </row>
    <row r="251" spans="1:26" ht="15.75">
      <c r="A251" s="417"/>
      <c r="B251" s="417"/>
      <c r="C251" s="417"/>
      <c r="D251" s="417"/>
      <c r="E251" s="417"/>
      <c r="F251" s="417"/>
      <c r="G251" s="417"/>
      <c r="H251" s="417"/>
      <c r="I251" s="417"/>
      <c r="J251" s="417"/>
      <c r="K251" s="417"/>
      <c r="L251" s="417"/>
      <c r="M251" s="417"/>
      <c r="N251" s="417"/>
      <c r="O251" s="417"/>
      <c r="P251" s="417"/>
      <c r="Q251" s="417"/>
      <c r="R251" s="417"/>
      <c r="S251" s="417"/>
      <c r="T251" s="417"/>
      <c r="U251" s="417"/>
      <c r="V251" s="417"/>
      <c r="W251" s="417"/>
      <c r="X251" s="417"/>
      <c r="Y251" s="417"/>
      <c r="Z251" s="417"/>
    </row>
    <row r="252" spans="1:26" ht="15.75">
      <c r="A252" s="417"/>
      <c r="B252" s="417"/>
      <c r="C252" s="417"/>
      <c r="D252" s="417"/>
      <c r="E252" s="417"/>
      <c r="F252" s="417"/>
      <c r="G252" s="417"/>
      <c r="H252" s="417"/>
      <c r="I252" s="417"/>
      <c r="J252" s="417"/>
      <c r="K252" s="417"/>
      <c r="L252" s="417"/>
      <c r="M252" s="417"/>
      <c r="N252" s="417"/>
      <c r="O252" s="417"/>
      <c r="P252" s="417"/>
      <c r="Q252" s="417"/>
      <c r="R252" s="417"/>
      <c r="S252" s="417"/>
      <c r="T252" s="417"/>
      <c r="U252" s="417"/>
      <c r="V252" s="417"/>
      <c r="W252" s="417"/>
      <c r="X252" s="417"/>
      <c r="Y252" s="417"/>
      <c r="Z252" s="417"/>
    </row>
    <row r="253" spans="1:26" ht="15.75">
      <c r="A253" s="417"/>
      <c r="B253" s="417"/>
      <c r="C253" s="417"/>
      <c r="D253" s="417"/>
      <c r="E253" s="417"/>
      <c r="F253" s="417"/>
      <c r="G253" s="417"/>
      <c r="H253" s="417"/>
      <c r="I253" s="417"/>
      <c r="J253" s="417"/>
      <c r="K253" s="417"/>
      <c r="L253" s="417"/>
      <c r="M253" s="417"/>
      <c r="N253" s="417"/>
      <c r="O253" s="417"/>
      <c r="P253" s="417"/>
      <c r="Q253" s="417"/>
      <c r="R253" s="417"/>
      <c r="S253" s="417"/>
      <c r="T253" s="417"/>
      <c r="U253" s="417"/>
      <c r="V253" s="417"/>
      <c r="W253" s="417"/>
      <c r="X253" s="417"/>
      <c r="Y253" s="417"/>
      <c r="Z253" s="417"/>
    </row>
    <row r="254" spans="1:26" ht="15.75">
      <c r="A254" s="417"/>
      <c r="B254" s="417"/>
      <c r="C254" s="417"/>
      <c r="D254" s="417"/>
      <c r="E254" s="417"/>
      <c r="F254" s="417"/>
      <c r="G254" s="417"/>
      <c r="H254" s="417"/>
      <c r="I254" s="417"/>
      <c r="J254" s="417"/>
      <c r="K254" s="417"/>
      <c r="L254" s="417"/>
      <c r="M254" s="417"/>
      <c r="N254" s="417"/>
      <c r="O254" s="417"/>
      <c r="P254" s="417"/>
      <c r="Q254" s="417"/>
      <c r="R254" s="417"/>
      <c r="S254" s="417"/>
      <c r="T254" s="417"/>
      <c r="U254" s="417"/>
      <c r="V254" s="417"/>
      <c r="W254" s="417"/>
      <c r="X254" s="417"/>
      <c r="Y254" s="417"/>
      <c r="Z254" s="417"/>
    </row>
    <row r="255" spans="1:26" ht="15.75">
      <c r="A255" s="417"/>
      <c r="B255" s="417"/>
      <c r="C255" s="417"/>
      <c r="D255" s="417"/>
      <c r="E255" s="417"/>
      <c r="F255" s="417"/>
      <c r="G255" s="417"/>
      <c r="H255" s="417"/>
      <c r="I255" s="417"/>
      <c r="J255" s="417"/>
      <c r="K255" s="417"/>
      <c r="L255" s="417"/>
      <c r="M255" s="417"/>
      <c r="N255" s="417"/>
      <c r="O255" s="417"/>
      <c r="P255" s="417"/>
      <c r="Q255" s="417"/>
      <c r="R255" s="417"/>
      <c r="S255" s="417"/>
      <c r="T255" s="417"/>
      <c r="U255" s="417"/>
      <c r="V255" s="417"/>
      <c r="W255" s="417"/>
      <c r="X255" s="417"/>
      <c r="Y255" s="417"/>
      <c r="Z255" s="417"/>
    </row>
    <row r="256" spans="1:26" ht="15.75">
      <c r="A256" s="417"/>
      <c r="B256" s="417"/>
      <c r="C256" s="417"/>
      <c r="D256" s="417"/>
      <c r="E256" s="417"/>
      <c r="F256" s="417"/>
      <c r="G256" s="417"/>
      <c r="H256" s="417"/>
      <c r="I256" s="417"/>
      <c r="J256" s="417"/>
      <c r="K256" s="417"/>
      <c r="L256" s="417"/>
      <c r="M256" s="417"/>
      <c r="N256" s="417"/>
      <c r="O256" s="417"/>
      <c r="P256" s="417"/>
      <c r="Q256" s="417"/>
      <c r="R256" s="417"/>
      <c r="S256" s="417"/>
      <c r="T256" s="417"/>
      <c r="U256" s="417"/>
      <c r="V256" s="417"/>
      <c r="W256" s="417"/>
      <c r="X256" s="417"/>
      <c r="Y256" s="417"/>
      <c r="Z256" s="417"/>
    </row>
    <row r="257" spans="1:26" ht="15.75">
      <c r="A257" s="417"/>
      <c r="B257" s="417"/>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c r="Z257" s="417"/>
    </row>
    <row r="258" spans="1:26" ht="15.75">
      <c r="A258" s="417"/>
      <c r="B258" s="417"/>
      <c r="C258" s="417"/>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17"/>
      <c r="Z258" s="417"/>
    </row>
    <row r="259" spans="1:26" ht="15.75">
      <c r="A259" s="417"/>
      <c r="B259" s="417"/>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c r="Z259" s="417"/>
    </row>
    <row r="260" spans="1:26" ht="15.75">
      <c r="A260" s="417"/>
      <c r="B260" s="417"/>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c r="Z260" s="417"/>
    </row>
    <row r="261" spans="1:26" ht="15.75">
      <c r="A261" s="417"/>
      <c r="B261" s="417"/>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c r="Z261" s="417"/>
    </row>
    <row r="262" spans="1:26" ht="15.75">
      <c r="A262" s="417"/>
      <c r="B262" s="417"/>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c r="Z262" s="417"/>
    </row>
    <row r="263" spans="1:26" ht="15.75">
      <c r="A263" s="417"/>
      <c r="B263" s="417"/>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c r="Z263" s="417"/>
    </row>
    <row r="264" spans="1:26" ht="15.75">
      <c r="A264" s="417"/>
      <c r="B264" s="417"/>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c r="Z264" s="417"/>
    </row>
    <row r="265" spans="1:26" ht="15.75">
      <c r="A265" s="417"/>
      <c r="B265" s="417"/>
      <c r="C265" s="417"/>
      <c r="D265" s="417"/>
      <c r="E265" s="417"/>
      <c r="F265" s="417"/>
      <c r="G265" s="417"/>
      <c r="H265" s="417"/>
      <c r="I265" s="417"/>
      <c r="J265" s="417"/>
      <c r="K265" s="417"/>
      <c r="L265" s="417"/>
      <c r="M265" s="417"/>
      <c r="N265" s="417"/>
      <c r="O265" s="417"/>
      <c r="P265" s="417"/>
      <c r="Q265" s="417"/>
      <c r="R265" s="417"/>
      <c r="S265" s="417"/>
      <c r="T265" s="417"/>
      <c r="U265" s="417"/>
      <c r="V265" s="417"/>
      <c r="W265" s="417"/>
      <c r="X265" s="417"/>
      <c r="Y265" s="417"/>
      <c r="Z265" s="417"/>
    </row>
    <row r="266" spans="1:26" ht="15.75">
      <c r="A266" s="417"/>
      <c r="B266" s="417"/>
      <c r="C266" s="417"/>
      <c r="D266" s="417"/>
      <c r="E266" s="417"/>
      <c r="F266" s="417"/>
      <c r="G266" s="417"/>
      <c r="H266" s="417"/>
      <c r="I266" s="417"/>
      <c r="J266" s="417"/>
      <c r="K266" s="417"/>
      <c r="L266" s="417"/>
      <c r="M266" s="417"/>
      <c r="N266" s="417"/>
      <c r="O266" s="417"/>
      <c r="P266" s="417"/>
      <c r="Q266" s="417"/>
      <c r="R266" s="417"/>
      <c r="S266" s="417"/>
      <c r="T266" s="417"/>
      <c r="U266" s="417"/>
      <c r="V266" s="417"/>
      <c r="W266" s="417"/>
      <c r="X266" s="417"/>
      <c r="Y266" s="417"/>
      <c r="Z266" s="417"/>
    </row>
    <row r="267" spans="1:26" ht="15.75">
      <c r="A267" s="417"/>
      <c r="B267" s="417"/>
      <c r="C267" s="417"/>
      <c r="D267" s="417"/>
      <c r="E267" s="417"/>
      <c r="F267" s="417"/>
      <c r="G267" s="417"/>
      <c r="H267" s="417"/>
      <c r="I267" s="417"/>
      <c r="J267" s="417"/>
      <c r="K267" s="417"/>
      <c r="L267" s="417"/>
      <c r="M267" s="417"/>
      <c r="N267" s="417"/>
      <c r="O267" s="417"/>
      <c r="P267" s="417"/>
      <c r="Q267" s="417"/>
      <c r="R267" s="417"/>
      <c r="S267" s="417"/>
      <c r="T267" s="417"/>
      <c r="U267" s="417"/>
      <c r="V267" s="417"/>
      <c r="W267" s="417"/>
      <c r="X267" s="417"/>
      <c r="Y267" s="417"/>
      <c r="Z267" s="417"/>
    </row>
    <row r="268" spans="1:26" ht="15.75">
      <c r="A268" s="417"/>
      <c r="B268" s="417"/>
      <c r="C268" s="417"/>
      <c r="D268" s="417"/>
      <c r="E268" s="417"/>
      <c r="F268" s="417"/>
      <c r="G268" s="417"/>
      <c r="H268" s="417"/>
      <c r="I268" s="417"/>
      <c r="J268" s="417"/>
      <c r="K268" s="417"/>
      <c r="L268" s="417"/>
      <c r="M268" s="417"/>
      <c r="N268" s="417"/>
      <c r="O268" s="417"/>
      <c r="P268" s="417"/>
      <c r="Q268" s="417"/>
      <c r="R268" s="417"/>
      <c r="S268" s="417"/>
      <c r="T268" s="417"/>
      <c r="U268" s="417"/>
      <c r="V268" s="417"/>
      <c r="W268" s="417"/>
      <c r="X268" s="417"/>
      <c r="Y268" s="417"/>
      <c r="Z268" s="417"/>
    </row>
    <row r="269" spans="1:26" ht="15.75">
      <c r="A269" s="417"/>
      <c r="B269" s="417"/>
      <c r="C269" s="417"/>
      <c r="D269" s="417"/>
      <c r="E269" s="417"/>
      <c r="F269" s="417"/>
      <c r="G269" s="417"/>
      <c r="H269" s="417"/>
      <c r="I269" s="417"/>
      <c r="J269" s="417"/>
      <c r="K269" s="417"/>
      <c r="L269" s="417"/>
      <c r="M269" s="417"/>
      <c r="N269" s="417"/>
      <c r="O269" s="417"/>
      <c r="P269" s="417"/>
      <c r="Q269" s="417"/>
      <c r="R269" s="417"/>
      <c r="S269" s="417"/>
      <c r="T269" s="417"/>
      <c r="U269" s="417"/>
      <c r="V269" s="417"/>
      <c r="W269" s="417"/>
      <c r="X269" s="417"/>
      <c r="Y269" s="417"/>
      <c r="Z269" s="417"/>
    </row>
    <row r="270" spans="1:26" ht="15.75">
      <c r="A270" s="417"/>
      <c r="B270" s="417"/>
      <c r="C270" s="417"/>
      <c r="D270" s="417"/>
      <c r="E270" s="417"/>
      <c r="F270" s="417"/>
      <c r="G270" s="417"/>
      <c r="H270" s="417"/>
      <c r="I270" s="417"/>
      <c r="J270" s="417"/>
      <c r="K270" s="417"/>
      <c r="L270" s="417"/>
      <c r="M270" s="417"/>
      <c r="N270" s="417"/>
      <c r="O270" s="417"/>
      <c r="P270" s="417"/>
      <c r="Q270" s="417"/>
      <c r="R270" s="417"/>
      <c r="S270" s="417"/>
      <c r="T270" s="417"/>
      <c r="U270" s="417"/>
      <c r="V270" s="417"/>
      <c r="W270" s="417"/>
      <c r="X270" s="417"/>
      <c r="Y270" s="417"/>
      <c r="Z270" s="417"/>
    </row>
    <row r="271" spans="1:26" ht="15.75">
      <c r="A271" s="417"/>
      <c r="B271" s="417"/>
      <c r="C271" s="417"/>
      <c r="D271" s="417"/>
      <c r="E271" s="417"/>
      <c r="F271" s="417"/>
      <c r="G271" s="417"/>
      <c r="H271" s="417"/>
      <c r="I271" s="417"/>
      <c r="J271" s="417"/>
      <c r="K271" s="417"/>
      <c r="L271" s="417"/>
      <c r="M271" s="417"/>
      <c r="N271" s="417"/>
      <c r="O271" s="417"/>
      <c r="P271" s="417"/>
      <c r="Q271" s="417"/>
      <c r="R271" s="417"/>
      <c r="S271" s="417"/>
      <c r="T271" s="417"/>
      <c r="U271" s="417"/>
      <c r="V271" s="417"/>
      <c r="W271" s="417"/>
      <c r="X271" s="417"/>
      <c r="Y271" s="417"/>
      <c r="Z271" s="417"/>
    </row>
    <row r="272" spans="1:26" ht="15.75">
      <c r="A272" s="417"/>
      <c r="B272" s="417"/>
      <c r="C272" s="417"/>
      <c r="D272" s="417"/>
      <c r="E272" s="417"/>
      <c r="F272" s="417"/>
      <c r="G272" s="417"/>
      <c r="H272" s="417"/>
      <c r="I272" s="417"/>
      <c r="J272" s="417"/>
      <c r="K272" s="417"/>
      <c r="L272" s="417"/>
      <c r="M272" s="417"/>
      <c r="N272" s="417"/>
      <c r="O272" s="417"/>
      <c r="P272" s="417"/>
      <c r="Q272" s="417"/>
      <c r="R272" s="417"/>
      <c r="S272" s="417"/>
      <c r="T272" s="417"/>
      <c r="U272" s="417"/>
      <c r="V272" s="417"/>
      <c r="W272" s="417"/>
      <c r="X272" s="417"/>
      <c r="Y272" s="417"/>
      <c r="Z272" s="417"/>
    </row>
    <row r="273" spans="1:26" ht="15.75">
      <c r="A273" s="417"/>
      <c r="B273" s="417"/>
      <c r="C273" s="417"/>
      <c r="D273" s="417"/>
      <c r="E273" s="417"/>
      <c r="F273" s="417"/>
      <c r="G273" s="417"/>
      <c r="H273" s="417"/>
      <c r="I273" s="417"/>
      <c r="J273" s="417"/>
      <c r="K273" s="417"/>
      <c r="L273" s="417"/>
      <c r="M273" s="417"/>
      <c r="N273" s="417"/>
      <c r="O273" s="417"/>
      <c r="P273" s="417"/>
      <c r="Q273" s="417"/>
      <c r="R273" s="417"/>
      <c r="S273" s="417"/>
      <c r="T273" s="417"/>
      <c r="U273" s="417"/>
      <c r="V273" s="417"/>
      <c r="W273" s="417"/>
      <c r="X273" s="417"/>
      <c r="Y273" s="417"/>
      <c r="Z273" s="417"/>
    </row>
    <row r="274" spans="1:26" ht="15.75">
      <c r="A274" s="417"/>
      <c r="B274" s="417"/>
      <c r="C274" s="417"/>
      <c r="D274" s="417"/>
      <c r="E274" s="417"/>
      <c r="F274" s="417"/>
      <c r="G274" s="417"/>
      <c r="H274" s="417"/>
      <c r="I274" s="417"/>
      <c r="J274" s="417"/>
      <c r="K274" s="417"/>
      <c r="L274" s="417"/>
      <c r="M274" s="417"/>
      <c r="N274" s="417"/>
      <c r="O274" s="417"/>
      <c r="P274" s="417"/>
      <c r="Q274" s="417"/>
      <c r="R274" s="417"/>
      <c r="S274" s="417"/>
      <c r="T274" s="417"/>
      <c r="U274" s="417"/>
      <c r="V274" s="417"/>
      <c r="W274" s="417"/>
      <c r="X274" s="417"/>
      <c r="Y274" s="417"/>
      <c r="Z274" s="417"/>
    </row>
    <row r="275" spans="1:26" ht="15.75">
      <c r="A275" s="417"/>
      <c r="B275" s="417"/>
      <c r="C275" s="417"/>
      <c r="D275" s="417"/>
      <c r="E275" s="417"/>
      <c r="F275" s="417"/>
      <c r="G275" s="417"/>
      <c r="H275" s="417"/>
      <c r="I275" s="417"/>
      <c r="J275" s="417"/>
      <c r="K275" s="417"/>
      <c r="L275" s="417"/>
      <c r="M275" s="417"/>
      <c r="N275" s="417"/>
      <c r="O275" s="417"/>
      <c r="P275" s="417"/>
      <c r="Q275" s="417"/>
      <c r="R275" s="417"/>
      <c r="S275" s="417"/>
      <c r="T275" s="417"/>
      <c r="U275" s="417"/>
      <c r="V275" s="417"/>
      <c r="W275" s="417"/>
      <c r="X275" s="417"/>
      <c r="Y275" s="417"/>
      <c r="Z275" s="417"/>
    </row>
    <row r="276" spans="1:26" ht="15.75">
      <c r="A276" s="417"/>
      <c r="B276" s="417"/>
      <c r="C276" s="417"/>
      <c r="D276" s="417"/>
      <c r="E276" s="417"/>
      <c r="F276" s="417"/>
      <c r="G276" s="417"/>
      <c r="H276" s="417"/>
      <c r="I276" s="417"/>
      <c r="J276" s="417"/>
      <c r="K276" s="417"/>
      <c r="L276" s="417"/>
      <c r="M276" s="417"/>
      <c r="N276" s="417"/>
      <c r="O276" s="417"/>
      <c r="P276" s="417"/>
      <c r="Q276" s="417"/>
      <c r="R276" s="417"/>
      <c r="S276" s="417"/>
      <c r="T276" s="417"/>
      <c r="U276" s="417"/>
      <c r="V276" s="417"/>
      <c r="W276" s="417"/>
      <c r="X276" s="417"/>
      <c r="Y276" s="417"/>
      <c r="Z276" s="417"/>
    </row>
    <row r="277" spans="1:26" ht="15.75">
      <c r="A277" s="417"/>
      <c r="B277" s="417"/>
      <c r="C277" s="417"/>
      <c r="D277" s="417"/>
      <c r="E277" s="417"/>
      <c r="F277" s="417"/>
      <c r="G277" s="417"/>
      <c r="H277" s="417"/>
      <c r="I277" s="417"/>
      <c r="J277" s="417"/>
      <c r="K277" s="417"/>
      <c r="L277" s="417"/>
      <c r="M277" s="417"/>
      <c r="N277" s="417"/>
      <c r="O277" s="417"/>
      <c r="P277" s="417"/>
      <c r="Q277" s="417"/>
      <c r="R277" s="417"/>
      <c r="S277" s="417"/>
      <c r="T277" s="417"/>
      <c r="U277" s="417"/>
      <c r="V277" s="417"/>
      <c r="W277" s="417"/>
      <c r="X277" s="417"/>
      <c r="Y277" s="417"/>
      <c r="Z277" s="417"/>
    </row>
    <row r="278" spans="1:26" ht="15.75">
      <c r="A278" s="417"/>
      <c r="B278" s="417"/>
      <c r="C278" s="417"/>
      <c r="D278" s="417"/>
      <c r="E278" s="417"/>
      <c r="F278" s="417"/>
      <c r="G278" s="417"/>
      <c r="H278" s="417"/>
      <c r="I278" s="417"/>
      <c r="J278" s="417"/>
      <c r="K278" s="417"/>
      <c r="L278" s="417"/>
      <c r="M278" s="417"/>
      <c r="N278" s="417"/>
      <c r="O278" s="417"/>
      <c r="P278" s="417"/>
      <c r="Q278" s="417"/>
      <c r="R278" s="417"/>
      <c r="S278" s="417"/>
      <c r="T278" s="417"/>
      <c r="U278" s="417"/>
      <c r="V278" s="417"/>
      <c r="W278" s="417"/>
      <c r="X278" s="417"/>
      <c r="Y278" s="417"/>
      <c r="Z278" s="417"/>
    </row>
    <row r="279" spans="1:26" ht="15.75">
      <c r="A279" s="417"/>
      <c r="B279" s="417"/>
      <c r="C279" s="417"/>
      <c r="D279" s="417"/>
      <c r="E279" s="417"/>
      <c r="F279" s="417"/>
      <c r="G279" s="417"/>
      <c r="H279" s="417"/>
      <c r="I279" s="417"/>
      <c r="J279" s="417"/>
      <c r="K279" s="417"/>
      <c r="L279" s="417"/>
      <c r="M279" s="417"/>
      <c r="N279" s="417"/>
      <c r="O279" s="417"/>
      <c r="P279" s="417"/>
      <c r="Q279" s="417"/>
      <c r="R279" s="417"/>
      <c r="S279" s="417"/>
      <c r="T279" s="417"/>
      <c r="U279" s="417"/>
      <c r="V279" s="417"/>
      <c r="W279" s="417"/>
      <c r="X279" s="417"/>
      <c r="Y279" s="417"/>
      <c r="Z279" s="417"/>
    </row>
    <row r="280" spans="1:26" ht="15.75">
      <c r="A280" s="417"/>
      <c r="B280" s="417"/>
      <c r="C280" s="417"/>
      <c r="D280" s="417"/>
      <c r="E280" s="417"/>
      <c r="F280" s="417"/>
      <c r="G280" s="417"/>
      <c r="H280" s="417"/>
      <c r="I280" s="417"/>
      <c r="J280" s="417"/>
      <c r="K280" s="417"/>
      <c r="L280" s="417"/>
      <c r="M280" s="417"/>
      <c r="N280" s="417"/>
      <c r="O280" s="417"/>
      <c r="P280" s="417"/>
      <c r="Q280" s="417"/>
      <c r="R280" s="417"/>
      <c r="S280" s="417"/>
      <c r="T280" s="417"/>
      <c r="U280" s="417"/>
      <c r="V280" s="417"/>
      <c r="W280" s="417"/>
      <c r="X280" s="417"/>
      <c r="Y280" s="417"/>
      <c r="Z280" s="417"/>
    </row>
    <row r="281" spans="1:26" ht="15.75">
      <c r="A281" s="417"/>
      <c r="B281" s="417"/>
      <c r="C281" s="417"/>
      <c r="D281" s="417"/>
      <c r="E281" s="417"/>
      <c r="F281" s="417"/>
      <c r="G281" s="417"/>
      <c r="H281" s="417"/>
      <c r="I281" s="417"/>
      <c r="J281" s="417"/>
      <c r="K281" s="417"/>
      <c r="L281" s="417"/>
      <c r="M281" s="417"/>
      <c r="N281" s="417"/>
      <c r="O281" s="417"/>
      <c r="P281" s="417"/>
      <c r="Q281" s="417"/>
      <c r="R281" s="417"/>
      <c r="S281" s="417"/>
      <c r="T281" s="417"/>
      <c r="U281" s="417"/>
      <c r="V281" s="417"/>
      <c r="W281" s="417"/>
      <c r="X281" s="417"/>
      <c r="Y281" s="417"/>
      <c r="Z281" s="417"/>
    </row>
    <row r="282" spans="1:26" ht="15.75">
      <c r="A282" s="417"/>
      <c r="B282" s="417"/>
      <c r="C282" s="417"/>
      <c r="D282" s="417"/>
      <c r="E282" s="417"/>
      <c r="F282" s="417"/>
      <c r="G282" s="417"/>
      <c r="H282" s="417"/>
      <c r="I282" s="417"/>
      <c r="J282" s="417"/>
      <c r="K282" s="417"/>
      <c r="L282" s="417"/>
      <c r="M282" s="417"/>
      <c r="N282" s="417"/>
      <c r="O282" s="417"/>
      <c r="P282" s="417"/>
      <c r="Q282" s="417"/>
      <c r="R282" s="417"/>
      <c r="S282" s="417"/>
      <c r="T282" s="417"/>
      <c r="U282" s="417"/>
      <c r="V282" s="417"/>
      <c r="W282" s="417"/>
      <c r="X282" s="417"/>
      <c r="Y282" s="417"/>
      <c r="Z282" s="417"/>
    </row>
    <row r="283" spans="1:26" ht="15.75">
      <c r="A283" s="417"/>
      <c r="B283" s="417"/>
      <c r="C283" s="417"/>
      <c r="D283" s="417"/>
      <c r="E283" s="417"/>
      <c r="F283" s="417"/>
      <c r="G283" s="417"/>
      <c r="H283" s="417"/>
      <c r="I283" s="417"/>
      <c r="J283" s="417"/>
      <c r="K283" s="417"/>
      <c r="L283" s="417"/>
      <c r="M283" s="417"/>
      <c r="N283" s="417"/>
      <c r="O283" s="417"/>
      <c r="P283" s="417"/>
      <c r="Q283" s="417"/>
      <c r="R283" s="417"/>
      <c r="S283" s="417"/>
      <c r="T283" s="417"/>
      <c r="U283" s="417"/>
      <c r="V283" s="417"/>
      <c r="W283" s="417"/>
      <c r="X283" s="417"/>
      <c r="Y283" s="417"/>
      <c r="Z283" s="417"/>
    </row>
    <row r="284" spans="1:26" ht="15.75">
      <c r="A284" s="417"/>
      <c r="B284" s="417"/>
      <c r="C284" s="417"/>
      <c r="D284" s="417"/>
      <c r="E284" s="417"/>
      <c r="F284" s="417"/>
      <c r="G284" s="417"/>
      <c r="H284" s="417"/>
      <c r="I284" s="417"/>
      <c r="J284" s="417"/>
      <c r="K284" s="417"/>
      <c r="L284" s="417"/>
      <c r="M284" s="417"/>
      <c r="N284" s="417"/>
      <c r="O284" s="417"/>
      <c r="P284" s="417"/>
      <c r="Q284" s="417"/>
      <c r="R284" s="417"/>
      <c r="S284" s="417"/>
      <c r="T284" s="417"/>
      <c r="U284" s="417"/>
      <c r="V284" s="417"/>
      <c r="W284" s="417"/>
      <c r="X284" s="417"/>
      <c r="Y284" s="417"/>
      <c r="Z284" s="417"/>
    </row>
    <row r="285" spans="1:26" ht="15.75">
      <c r="A285" s="417"/>
      <c r="B285" s="417"/>
      <c r="C285" s="417"/>
      <c r="D285" s="417"/>
      <c r="E285" s="417"/>
      <c r="F285" s="417"/>
      <c r="G285" s="417"/>
      <c r="H285" s="417"/>
      <c r="I285" s="417"/>
      <c r="J285" s="417"/>
      <c r="K285" s="417"/>
      <c r="L285" s="417"/>
      <c r="M285" s="417"/>
      <c r="N285" s="417"/>
      <c r="O285" s="417"/>
      <c r="P285" s="417"/>
      <c r="Q285" s="417"/>
      <c r="R285" s="417"/>
      <c r="S285" s="417"/>
      <c r="T285" s="417"/>
      <c r="U285" s="417"/>
      <c r="V285" s="417"/>
      <c r="W285" s="417"/>
      <c r="X285" s="417"/>
      <c r="Y285" s="417"/>
      <c r="Z285" s="417"/>
    </row>
    <row r="286" spans="1:26" ht="15.75">
      <c r="A286" s="417"/>
      <c r="B286" s="417"/>
      <c r="C286" s="417"/>
      <c r="D286" s="417"/>
      <c r="E286" s="417"/>
      <c r="F286" s="417"/>
      <c r="G286" s="417"/>
      <c r="H286" s="417"/>
      <c r="I286" s="417"/>
      <c r="J286" s="417"/>
      <c r="K286" s="417"/>
      <c r="L286" s="417"/>
      <c r="M286" s="417"/>
      <c r="N286" s="417"/>
      <c r="O286" s="417"/>
      <c r="P286" s="417"/>
      <c r="Q286" s="417"/>
      <c r="R286" s="417"/>
      <c r="S286" s="417"/>
      <c r="T286" s="417"/>
      <c r="U286" s="417"/>
      <c r="V286" s="417"/>
      <c r="W286" s="417"/>
      <c r="X286" s="417"/>
      <c r="Y286" s="417"/>
      <c r="Z286" s="417"/>
    </row>
    <row r="287" spans="1:26" ht="15.75">
      <c r="A287" s="417"/>
      <c r="B287" s="417"/>
      <c r="C287" s="417"/>
      <c r="D287" s="417"/>
      <c r="E287" s="417"/>
      <c r="F287" s="417"/>
      <c r="G287" s="417"/>
      <c r="H287" s="417"/>
      <c r="I287" s="417"/>
      <c r="J287" s="417"/>
      <c r="K287" s="417"/>
      <c r="L287" s="417"/>
      <c r="M287" s="417"/>
      <c r="N287" s="417"/>
      <c r="O287" s="417"/>
      <c r="P287" s="417"/>
      <c r="Q287" s="417"/>
      <c r="R287" s="417"/>
      <c r="S287" s="417"/>
      <c r="T287" s="417"/>
      <c r="U287" s="417"/>
      <c r="V287" s="417"/>
      <c r="W287" s="417"/>
      <c r="X287" s="417"/>
      <c r="Y287" s="417"/>
      <c r="Z287" s="417"/>
    </row>
    <row r="288" spans="1:26" ht="15.75">
      <c r="A288" s="417"/>
      <c r="B288" s="417"/>
      <c r="C288" s="417"/>
      <c r="D288" s="417"/>
      <c r="E288" s="417"/>
      <c r="F288" s="417"/>
      <c r="G288" s="417"/>
      <c r="H288" s="417"/>
      <c r="I288" s="417"/>
      <c r="J288" s="417"/>
      <c r="K288" s="417"/>
      <c r="L288" s="417"/>
      <c r="M288" s="417"/>
      <c r="N288" s="417"/>
      <c r="O288" s="417"/>
      <c r="P288" s="417"/>
      <c r="Q288" s="417"/>
      <c r="R288" s="417"/>
      <c r="S288" s="417"/>
      <c r="T288" s="417"/>
      <c r="U288" s="417"/>
      <c r="V288" s="417"/>
      <c r="W288" s="417"/>
      <c r="X288" s="417"/>
      <c r="Y288" s="417"/>
      <c r="Z288" s="417"/>
    </row>
    <row r="289" spans="1:26" ht="15.75">
      <c r="A289" s="417"/>
      <c r="B289" s="417"/>
      <c r="C289" s="417"/>
      <c r="D289" s="417"/>
      <c r="E289" s="417"/>
      <c r="F289" s="417"/>
      <c r="G289" s="417"/>
      <c r="H289" s="417"/>
      <c r="I289" s="417"/>
      <c r="J289" s="417"/>
      <c r="K289" s="417"/>
      <c r="L289" s="417"/>
      <c r="M289" s="417"/>
      <c r="N289" s="417"/>
      <c r="O289" s="417"/>
      <c r="P289" s="417"/>
      <c r="Q289" s="417"/>
      <c r="R289" s="417"/>
      <c r="S289" s="417"/>
      <c r="T289" s="417"/>
      <c r="U289" s="417"/>
      <c r="V289" s="417"/>
      <c r="W289" s="417"/>
      <c r="X289" s="417"/>
      <c r="Y289" s="417"/>
      <c r="Z289" s="417"/>
    </row>
    <row r="290" spans="1:26" ht="15.75">
      <c r="A290" s="417"/>
      <c r="B290" s="417"/>
      <c r="C290" s="417"/>
      <c r="D290" s="417"/>
      <c r="E290" s="417"/>
      <c r="F290" s="417"/>
      <c r="G290" s="417"/>
      <c r="H290" s="417"/>
      <c r="I290" s="417"/>
      <c r="J290" s="417"/>
      <c r="K290" s="417"/>
      <c r="L290" s="417"/>
      <c r="M290" s="417"/>
      <c r="N290" s="417"/>
      <c r="O290" s="417"/>
      <c r="P290" s="417"/>
      <c r="Q290" s="417"/>
      <c r="R290" s="417"/>
      <c r="S290" s="417"/>
      <c r="T290" s="417"/>
      <c r="U290" s="417"/>
      <c r="V290" s="417"/>
      <c r="W290" s="417"/>
      <c r="X290" s="417"/>
      <c r="Y290" s="417"/>
      <c r="Z290" s="417"/>
    </row>
    <row r="291" spans="1:26" ht="15.75">
      <c r="A291" s="417"/>
      <c r="B291" s="417"/>
      <c r="C291" s="417"/>
      <c r="D291" s="417"/>
      <c r="E291" s="417"/>
      <c r="F291" s="417"/>
      <c r="G291" s="417"/>
      <c r="H291" s="417"/>
      <c r="I291" s="417"/>
      <c r="J291" s="417"/>
      <c r="K291" s="417"/>
      <c r="L291" s="417"/>
      <c r="M291" s="417"/>
      <c r="N291" s="417"/>
      <c r="O291" s="417"/>
      <c r="P291" s="417"/>
      <c r="Q291" s="417"/>
      <c r="R291" s="417"/>
      <c r="S291" s="417"/>
      <c r="T291" s="417"/>
      <c r="U291" s="417"/>
      <c r="V291" s="417"/>
      <c r="W291" s="417"/>
      <c r="X291" s="417"/>
      <c r="Y291" s="417"/>
      <c r="Z291" s="417"/>
    </row>
    <row r="292" spans="1:26" ht="15.75">
      <c r="A292" s="417"/>
      <c r="B292" s="417"/>
      <c r="C292" s="417"/>
      <c r="D292" s="417"/>
      <c r="E292" s="417"/>
      <c r="F292" s="417"/>
      <c r="G292" s="417"/>
      <c r="H292" s="417"/>
      <c r="I292" s="417"/>
      <c r="J292" s="417"/>
      <c r="K292" s="417"/>
      <c r="L292" s="417"/>
      <c r="M292" s="417"/>
      <c r="N292" s="417"/>
      <c r="O292" s="417"/>
      <c r="P292" s="417"/>
      <c r="Q292" s="417"/>
      <c r="R292" s="417"/>
      <c r="S292" s="417"/>
      <c r="T292" s="417"/>
      <c r="U292" s="417"/>
      <c r="V292" s="417"/>
      <c r="W292" s="417"/>
      <c r="X292" s="417"/>
      <c r="Y292" s="417"/>
      <c r="Z292" s="417"/>
    </row>
    <row r="293" spans="1:26" ht="15.75">
      <c r="A293" s="417"/>
      <c r="B293" s="417"/>
      <c r="C293" s="417"/>
      <c r="D293" s="417"/>
      <c r="E293" s="417"/>
      <c r="F293" s="417"/>
      <c r="G293" s="417"/>
      <c r="H293" s="417"/>
      <c r="I293" s="417"/>
      <c r="J293" s="417"/>
      <c r="K293" s="417"/>
      <c r="L293" s="417"/>
      <c r="M293" s="417"/>
      <c r="N293" s="417"/>
      <c r="O293" s="417"/>
      <c r="P293" s="417"/>
      <c r="Q293" s="417"/>
      <c r="R293" s="417"/>
      <c r="S293" s="417"/>
      <c r="T293" s="417"/>
      <c r="U293" s="417"/>
      <c r="V293" s="417"/>
      <c r="W293" s="417"/>
      <c r="X293" s="417"/>
      <c r="Y293" s="417"/>
      <c r="Z293" s="417"/>
    </row>
    <row r="294" spans="1:26" ht="15.75">
      <c r="A294" s="417"/>
      <c r="B294" s="417"/>
      <c r="C294" s="417"/>
      <c r="D294" s="417"/>
      <c r="E294" s="417"/>
      <c r="F294" s="417"/>
      <c r="G294" s="417"/>
      <c r="H294" s="417"/>
      <c r="I294" s="417"/>
      <c r="J294" s="417"/>
      <c r="K294" s="417"/>
      <c r="L294" s="417"/>
      <c r="M294" s="417"/>
      <c r="N294" s="417"/>
      <c r="O294" s="417"/>
      <c r="P294" s="417"/>
      <c r="Q294" s="417"/>
      <c r="R294" s="417"/>
      <c r="S294" s="417"/>
      <c r="T294" s="417"/>
      <c r="U294" s="417"/>
      <c r="V294" s="417"/>
      <c r="W294" s="417"/>
      <c r="X294" s="417"/>
      <c r="Y294" s="417"/>
      <c r="Z294" s="417"/>
    </row>
    <row r="295" spans="1:26" ht="15.75">
      <c r="A295" s="417"/>
      <c r="B295" s="417"/>
      <c r="C295" s="417"/>
      <c r="D295" s="417"/>
      <c r="E295" s="417"/>
      <c r="F295" s="417"/>
      <c r="G295" s="417"/>
      <c r="H295" s="417"/>
      <c r="I295" s="417"/>
      <c r="J295" s="417"/>
      <c r="K295" s="417"/>
      <c r="L295" s="417"/>
      <c r="M295" s="417"/>
      <c r="N295" s="417"/>
      <c r="O295" s="417"/>
      <c r="P295" s="417"/>
      <c r="Q295" s="417"/>
      <c r="R295" s="417"/>
      <c r="S295" s="417"/>
      <c r="T295" s="417"/>
      <c r="U295" s="417"/>
      <c r="V295" s="417"/>
      <c r="W295" s="417"/>
      <c r="X295" s="417"/>
      <c r="Y295" s="417"/>
      <c r="Z295" s="417"/>
    </row>
    <row r="296" spans="1:26" ht="15.75">
      <c r="A296" s="417"/>
      <c r="B296" s="417"/>
      <c r="C296" s="417"/>
      <c r="D296" s="417"/>
      <c r="E296" s="417"/>
      <c r="F296" s="417"/>
      <c r="G296" s="417"/>
      <c r="H296" s="417"/>
      <c r="I296" s="417"/>
      <c r="J296" s="417"/>
      <c r="K296" s="417"/>
      <c r="L296" s="417"/>
      <c r="M296" s="417"/>
      <c r="N296" s="417"/>
      <c r="O296" s="417"/>
      <c r="P296" s="417"/>
      <c r="Q296" s="417"/>
      <c r="R296" s="417"/>
      <c r="S296" s="417"/>
      <c r="T296" s="417"/>
      <c r="U296" s="417"/>
      <c r="V296" s="417"/>
      <c r="W296" s="417"/>
      <c r="X296" s="417"/>
      <c r="Y296" s="417"/>
      <c r="Z296" s="417"/>
    </row>
    <row r="297" spans="1:26" ht="15.75">
      <c r="A297" s="417"/>
      <c r="B297" s="417"/>
      <c r="C297" s="417"/>
      <c r="D297" s="417"/>
      <c r="E297" s="417"/>
      <c r="F297" s="417"/>
      <c r="G297" s="417"/>
      <c r="H297" s="417"/>
      <c r="I297" s="417"/>
      <c r="J297" s="417"/>
      <c r="K297" s="417"/>
      <c r="L297" s="417"/>
      <c r="M297" s="417"/>
      <c r="N297" s="417"/>
      <c r="O297" s="417"/>
      <c r="P297" s="417"/>
      <c r="Q297" s="417"/>
      <c r="R297" s="417"/>
      <c r="S297" s="417"/>
      <c r="T297" s="417"/>
      <c r="U297" s="417"/>
      <c r="V297" s="417"/>
      <c r="W297" s="417"/>
      <c r="X297" s="417"/>
      <c r="Y297" s="417"/>
      <c r="Z297" s="417"/>
    </row>
    <row r="298" spans="1:26" ht="15.75">
      <c r="A298" s="417"/>
      <c r="B298" s="417"/>
      <c r="C298" s="417"/>
      <c r="D298" s="417"/>
      <c r="E298" s="417"/>
      <c r="F298" s="417"/>
      <c r="G298" s="417"/>
      <c r="H298" s="417"/>
      <c r="I298" s="417"/>
      <c r="J298" s="417"/>
      <c r="K298" s="417"/>
      <c r="L298" s="417"/>
      <c r="M298" s="417"/>
      <c r="N298" s="417"/>
      <c r="O298" s="417"/>
      <c r="P298" s="417"/>
      <c r="Q298" s="417"/>
      <c r="R298" s="417"/>
      <c r="S298" s="417"/>
      <c r="T298" s="417"/>
      <c r="U298" s="417"/>
      <c r="V298" s="417"/>
      <c r="W298" s="417"/>
      <c r="X298" s="417"/>
      <c r="Y298" s="417"/>
      <c r="Z298" s="417"/>
    </row>
    <row r="299" spans="1:26" ht="15.75">
      <c r="A299" s="417"/>
      <c r="B299" s="417"/>
      <c r="C299" s="417"/>
      <c r="D299" s="417"/>
      <c r="E299" s="417"/>
      <c r="F299" s="417"/>
      <c r="G299" s="417"/>
      <c r="H299" s="417"/>
      <c r="I299" s="417"/>
      <c r="J299" s="417"/>
      <c r="K299" s="417"/>
      <c r="L299" s="417"/>
      <c r="M299" s="417"/>
      <c r="N299" s="417"/>
      <c r="O299" s="417"/>
      <c r="P299" s="417"/>
      <c r="Q299" s="417"/>
      <c r="R299" s="417"/>
      <c r="S299" s="417"/>
      <c r="T299" s="417"/>
      <c r="U299" s="417"/>
      <c r="V299" s="417"/>
      <c r="W299" s="417"/>
      <c r="X299" s="417"/>
      <c r="Y299" s="417"/>
      <c r="Z299" s="417"/>
    </row>
    <row r="300" spans="1:26" ht="15.75">
      <c r="A300" s="417"/>
      <c r="B300" s="417"/>
      <c r="C300" s="417"/>
      <c r="D300" s="417"/>
      <c r="E300" s="417"/>
      <c r="F300" s="417"/>
      <c r="G300" s="417"/>
      <c r="H300" s="417"/>
      <c r="I300" s="417"/>
      <c r="J300" s="417"/>
      <c r="K300" s="417"/>
      <c r="L300" s="417"/>
      <c r="M300" s="417"/>
      <c r="N300" s="417"/>
      <c r="O300" s="417"/>
      <c r="P300" s="417"/>
      <c r="Q300" s="417"/>
      <c r="R300" s="417"/>
      <c r="S300" s="417"/>
      <c r="T300" s="417"/>
      <c r="U300" s="417"/>
      <c r="V300" s="417"/>
      <c r="W300" s="417"/>
      <c r="X300" s="417"/>
      <c r="Y300" s="417"/>
      <c r="Z300" s="417"/>
    </row>
    <row r="301" spans="1:26" ht="15.75">
      <c r="A301" s="417"/>
      <c r="B301" s="417"/>
      <c r="C301" s="417"/>
      <c r="D301" s="417"/>
      <c r="E301" s="417"/>
      <c r="F301" s="417"/>
      <c r="G301" s="417"/>
      <c r="H301" s="417"/>
      <c r="I301" s="417"/>
      <c r="J301" s="417"/>
      <c r="K301" s="417"/>
      <c r="L301" s="417"/>
      <c r="M301" s="417"/>
      <c r="N301" s="417"/>
      <c r="O301" s="417"/>
      <c r="P301" s="417"/>
      <c r="Q301" s="417"/>
      <c r="R301" s="417"/>
      <c r="S301" s="417"/>
      <c r="T301" s="417"/>
      <c r="U301" s="417"/>
      <c r="V301" s="417"/>
      <c r="W301" s="417"/>
      <c r="X301" s="417"/>
      <c r="Y301" s="417"/>
      <c r="Z301" s="417"/>
    </row>
    <row r="302" spans="1:26" ht="15.75">
      <c r="A302" s="417"/>
      <c r="B302" s="417"/>
      <c r="C302" s="417"/>
      <c r="D302" s="417"/>
      <c r="E302" s="417"/>
      <c r="F302" s="417"/>
      <c r="G302" s="417"/>
      <c r="H302" s="417"/>
      <c r="I302" s="417"/>
      <c r="J302" s="417"/>
      <c r="K302" s="417"/>
      <c r="L302" s="417"/>
      <c r="M302" s="417"/>
      <c r="N302" s="417"/>
      <c r="O302" s="417"/>
      <c r="P302" s="417"/>
      <c r="Q302" s="417"/>
      <c r="R302" s="417"/>
      <c r="S302" s="417"/>
      <c r="T302" s="417"/>
      <c r="U302" s="417"/>
      <c r="V302" s="417"/>
      <c r="W302" s="417"/>
      <c r="X302" s="417"/>
      <c r="Y302" s="417"/>
      <c r="Z302" s="417"/>
    </row>
    <row r="303" spans="1:26" ht="15.75">
      <c r="A303" s="417"/>
      <c r="B303" s="417"/>
      <c r="C303" s="417"/>
      <c r="D303" s="417"/>
      <c r="E303" s="417"/>
      <c r="F303" s="417"/>
      <c r="G303" s="417"/>
      <c r="H303" s="417"/>
      <c r="I303" s="417"/>
      <c r="J303" s="417"/>
      <c r="K303" s="417"/>
      <c r="L303" s="417"/>
      <c r="M303" s="417"/>
      <c r="N303" s="417"/>
      <c r="O303" s="417"/>
      <c r="P303" s="417"/>
      <c r="Q303" s="417"/>
      <c r="R303" s="417"/>
      <c r="S303" s="417"/>
      <c r="T303" s="417"/>
      <c r="U303" s="417"/>
      <c r="V303" s="417"/>
      <c r="W303" s="417"/>
      <c r="X303" s="417"/>
      <c r="Y303" s="417"/>
      <c r="Z303" s="417"/>
    </row>
    <row r="304" spans="1:26" ht="15.75">
      <c r="A304" s="417"/>
      <c r="B304" s="417"/>
      <c r="C304" s="417"/>
      <c r="D304" s="417"/>
      <c r="E304" s="417"/>
      <c r="F304" s="417"/>
      <c r="G304" s="417"/>
      <c r="H304" s="417"/>
      <c r="I304" s="417"/>
      <c r="J304" s="417"/>
      <c r="K304" s="417"/>
      <c r="L304" s="417"/>
      <c r="M304" s="417"/>
      <c r="N304" s="417"/>
      <c r="O304" s="417"/>
      <c r="P304" s="417"/>
      <c r="Q304" s="417"/>
      <c r="R304" s="417"/>
      <c r="S304" s="417"/>
      <c r="T304" s="417"/>
      <c r="U304" s="417"/>
      <c r="V304" s="417"/>
      <c r="W304" s="417"/>
      <c r="X304" s="417"/>
      <c r="Y304" s="417"/>
      <c r="Z304" s="417"/>
    </row>
    <row r="305" spans="1:26" ht="15.75">
      <c r="A305" s="417"/>
      <c r="B305" s="417"/>
      <c r="C305" s="417"/>
      <c r="D305" s="417"/>
      <c r="E305" s="417"/>
      <c r="F305" s="417"/>
      <c r="G305" s="417"/>
      <c r="H305" s="417"/>
      <c r="I305" s="417"/>
      <c r="J305" s="417"/>
      <c r="K305" s="417"/>
      <c r="L305" s="417"/>
      <c r="M305" s="417"/>
      <c r="N305" s="417"/>
      <c r="O305" s="417"/>
      <c r="P305" s="417"/>
      <c r="Q305" s="417"/>
      <c r="R305" s="417"/>
      <c r="S305" s="417"/>
      <c r="T305" s="417"/>
      <c r="U305" s="417"/>
      <c r="V305" s="417"/>
      <c r="W305" s="417"/>
      <c r="X305" s="417"/>
      <c r="Y305" s="417"/>
      <c r="Z305" s="417"/>
    </row>
    <row r="306" spans="1:26" ht="15.75">
      <c r="A306" s="417"/>
      <c r="B306" s="417"/>
      <c r="C306" s="417"/>
      <c r="D306" s="417"/>
      <c r="E306" s="417"/>
      <c r="F306" s="417"/>
      <c r="G306" s="417"/>
      <c r="H306" s="417"/>
      <c r="I306" s="417"/>
      <c r="J306" s="417"/>
      <c r="K306" s="417"/>
      <c r="L306" s="417"/>
      <c r="M306" s="417"/>
      <c r="N306" s="417"/>
      <c r="O306" s="417"/>
      <c r="P306" s="417"/>
      <c r="Q306" s="417"/>
      <c r="R306" s="417"/>
      <c r="S306" s="417"/>
      <c r="T306" s="417"/>
      <c r="U306" s="417"/>
      <c r="V306" s="417"/>
      <c r="W306" s="417"/>
      <c r="X306" s="417"/>
      <c r="Y306" s="417"/>
      <c r="Z306" s="417"/>
    </row>
    <row r="307" spans="1:26" ht="15.75">
      <c r="A307" s="417"/>
      <c r="B307" s="417"/>
      <c r="C307" s="417"/>
      <c r="D307" s="417"/>
      <c r="E307" s="417"/>
      <c r="F307" s="417"/>
      <c r="G307" s="417"/>
      <c r="H307" s="417"/>
      <c r="I307" s="417"/>
      <c r="J307" s="417"/>
      <c r="K307" s="417"/>
      <c r="L307" s="417"/>
      <c r="M307" s="417"/>
      <c r="N307" s="417"/>
      <c r="O307" s="417"/>
      <c r="P307" s="417"/>
      <c r="Q307" s="417"/>
      <c r="R307" s="417"/>
      <c r="S307" s="417"/>
      <c r="T307" s="417"/>
      <c r="U307" s="417"/>
      <c r="V307" s="417"/>
      <c r="W307" s="417"/>
      <c r="X307" s="417"/>
      <c r="Y307" s="417"/>
      <c r="Z307" s="417"/>
    </row>
    <row r="308" spans="1:26" ht="15.75">
      <c r="A308" s="417"/>
      <c r="B308" s="417"/>
      <c r="C308" s="417"/>
      <c r="D308" s="417"/>
      <c r="E308" s="417"/>
      <c r="F308" s="417"/>
      <c r="G308" s="417"/>
      <c r="H308" s="417"/>
      <c r="I308" s="417"/>
      <c r="J308" s="417"/>
      <c r="K308" s="417"/>
      <c r="L308" s="417"/>
      <c r="M308" s="417"/>
      <c r="N308" s="417"/>
      <c r="O308" s="417"/>
      <c r="P308" s="417"/>
      <c r="Q308" s="417"/>
      <c r="R308" s="417"/>
      <c r="S308" s="417"/>
      <c r="T308" s="417"/>
      <c r="U308" s="417"/>
      <c r="V308" s="417"/>
      <c r="W308" s="417"/>
      <c r="X308" s="417"/>
      <c r="Y308" s="417"/>
      <c r="Z308" s="417"/>
    </row>
    <row r="309" spans="1:26" ht="15.75">
      <c r="A309" s="417"/>
      <c r="B309" s="417"/>
      <c r="C309" s="417"/>
      <c r="D309" s="417"/>
      <c r="E309" s="417"/>
      <c r="F309" s="417"/>
      <c r="G309" s="417"/>
      <c r="H309" s="417"/>
      <c r="I309" s="417"/>
      <c r="J309" s="417"/>
      <c r="K309" s="417"/>
      <c r="L309" s="417"/>
      <c r="M309" s="417"/>
      <c r="N309" s="417"/>
      <c r="O309" s="417"/>
      <c r="P309" s="417"/>
      <c r="Q309" s="417"/>
      <c r="R309" s="417"/>
      <c r="S309" s="417"/>
      <c r="T309" s="417"/>
      <c r="U309" s="417"/>
      <c r="V309" s="417"/>
      <c r="W309" s="417"/>
      <c r="X309" s="417"/>
      <c r="Y309" s="417"/>
      <c r="Z309" s="417"/>
    </row>
    <row r="310" spans="1:26" ht="15.75">
      <c r="A310" s="417"/>
      <c r="B310" s="417"/>
      <c r="C310" s="417"/>
      <c r="D310" s="417"/>
      <c r="E310" s="417"/>
      <c r="F310" s="417"/>
      <c r="G310" s="417"/>
      <c r="H310" s="417"/>
      <c r="I310" s="417"/>
      <c r="J310" s="417"/>
      <c r="K310" s="417"/>
      <c r="L310" s="417"/>
      <c r="M310" s="417"/>
      <c r="N310" s="417"/>
      <c r="O310" s="417"/>
      <c r="P310" s="417"/>
      <c r="Q310" s="417"/>
      <c r="R310" s="417"/>
      <c r="S310" s="417"/>
      <c r="T310" s="417"/>
      <c r="U310" s="417"/>
      <c r="V310" s="417"/>
      <c r="W310" s="417"/>
      <c r="X310" s="417"/>
      <c r="Y310" s="417"/>
      <c r="Z310" s="417"/>
    </row>
    <row r="311" spans="1:26" ht="15.75">
      <c r="A311" s="417"/>
      <c r="B311" s="417"/>
      <c r="C311" s="417"/>
      <c r="D311" s="417"/>
      <c r="E311" s="417"/>
      <c r="F311" s="417"/>
      <c r="G311" s="417"/>
      <c r="H311" s="417"/>
      <c r="I311" s="417"/>
      <c r="J311" s="417"/>
      <c r="K311" s="417"/>
      <c r="L311" s="417"/>
      <c r="M311" s="417"/>
      <c r="N311" s="417"/>
      <c r="O311" s="417"/>
      <c r="P311" s="417"/>
      <c r="Q311" s="417"/>
      <c r="R311" s="417"/>
      <c r="S311" s="417"/>
      <c r="T311" s="417"/>
      <c r="U311" s="417"/>
      <c r="V311" s="417"/>
      <c r="W311" s="417"/>
      <c r="X311" s="417"/>
      <c r="Y311" s="417"/>
      <c r="Z311" s="417"/>
    </row>
    <row r="312" spans="1:26" ht="15.75">
      <c r="A312" s="417"/>
      <c r="B312" s="417"/>
      <c r="C312" s="417"/>
      <c r="D312" s="417"/>
      <c r="E312" s="417"/>
      <c r="F312" s="417"/>
      <c r="G312" s="417"/>
      <c r="H312" s="417"/>
      <c r="I312" s="417"/>
      <c r="J312" s="417"/>
      <c r="K312" s="417"/>
      <c r="L312" s="417"/>
      <c r="M312" s="417"/>
      <c r="N312" s="417"/>
      <c r="O312" s="417"/>
      <c r="P312" s="417"/>
      <c r="Q312" s="417"/>
      <c r="R312" s="417"/>
      <c r="S312" s="417"/>
      <c r="T312" s="417"/>
      <c r="U312" s="417"/>
      <c r="V312" s="417"/>
      <c r="W312" s="417"/>
      <c r="X312" s="417"/>
      <c r="Y312" s="417"/>
      <c r="Z312" s="417"/>
    </row>
    <row r="313" spans="1:26" ht="15.75">
      <c r="A313" s="417"/>
      <c r="B313" s="417"/>
      <c r="C313" s="417"/>
      <c r="D313" s="417"/>
      <c r="E313" s="417"/>
      <c r="F313" s="417"/>
      <c r="G313" s="417"/>
      <c r="H313" s="417"/>
      <c r="I313" s="417"/>
      <c r="J313" s="417"/>
      <c r="K313" s="417"/>
      <c r="L313" s="417"/>
      <c r="M313" s="417"/>
      <c r="N313" s="417"/>
      <c r="O313" s="417"/>
      <c r="P313" s="417"/>
      <c r="Q313" s="417"/>
      <c r="R313" s="417"/>
      <c r="S313" s="417"/>
      <c r="T313" s="417"/>
      <c r="U313" s="417"/>
      <c r="V313" s="417"/>
      <c r="W313" s="417"/>
      <c r="X313" s="417"/>
      <c r="Y313" s="417"/>
      <c r="Z313" s="417"/>
    </row>
    <row r="314" spans="1:26" ht="15.75">
      <c r="A314" s="417"/>
      <c r="B314" s="417"/>
      <c r="C314" s="417"/>
      <c r="D314" s="417"/>
      <c r="E314" s="417"/>
      <c r="F314" s="417"/>
      <c r="G314" s="417"/>
      <c r="H314" s="417"/>
      <c r="I314" s="417"/>
      <c r="J314" s="417"/>
      <c r="K314" s="417"/>
      <c r="L314" s="417"/>
      <c r="M314" s="417"/>
      <c r="N314" s="417"/>
      <c r="O314" s="417"/>
      <c r="P314" s="417"/>
      <c r="Q314" s="417"/>
      <c r="R314" s="417"/>
      <c r="S314" s="417"/>
      <c r="T314" s="417"/>
      <c r="U314" s="417"/>
      <c r="V314" s="417"/>
      <c r="W314" s="417"/>
      <c r="X314" s="417"/>
      <c r="Y314" s="417"/>
      <c r="Z314" s="417"/>
    </row>
    <row r="315" spans="1:26" ht="15.75">
      <c r="A315" s="417"/>
      <c r="B315" s="417"/>
      <c r="C315" s="417"/>
      <c r="D315" s="417"/>
      <c r="E315" s="417"/>
      <c r="F315" s="417"/>
      <c r="G315" s="417"/>
      <c r="H315" s="417"/>
      <c r="I315" s="417"/>
      <c r="J315" s="417"/>
      <c r="K315" s="417"/>
      <c r="L315" s="417"/>
      <c r="M315" s="417"/>
      <c r="N315" s="417"/>
      <c r="O315" s="417"/>
      <c r="P315" s="417"/>
      <c r="Q315" s="417"/>
      <c r="R315" s="417"/>
      <c r="S315" s="417"/>
      <c r="T315" s="417"/>
      <c r="U315" s="417"/>
      <c r="V315" s="417"/>
      <c r="W315" s="417"/>
      <c r="X315" s="417"/>
      <c r="Y315" s="417"/>
      <c r="Z315" s="417"/>
    </row>
    <row r="316" spans="1:26" ht="15.75">
      <c r="A316" s="417"/>
      <c r="B316" s="417"/>
      <c r="C316" s="417"/>
      <c r="D316" s="417"/>
      <c r="E316" s="417"/>
      <c r="F316" s="417"/>
      <c r="G316" s="417"/>
      <c r="H316" s="417"/>
      <c r="I316" s="417"/>
      <c r="J316" s="417"/>
      <c r="K316" s="417"/>
      <c r="L316" s="417"/>
      <c r="M316" s="417"/>
      <c r="N316" s="417"/>
      <c r="O316" s="417"/>
      <c r="P316" s="417"/>
      <c r="Q316" s="417"/>
      <c r="R316" s="417"/>
      <c r="S316" s="417"/>
      <c r="T316" s="417"/>
      <c r="U316" s="417"/>
      <c r="V316" s="417"/>
      <c r="W316" s="417"/>
      <c r="X316" s="417"/>
      <c r="Y316" s="417"/>
      <c r="Z316" s="417"/>
    </row>
    <row r="317" spans="1:26" ht="15.75">
      <c r="A317" s="417"/>
      <c r="B317" s="417"/>
      <c r="C317" s="417"/>
      <c r="D317" s="417"/>
      <c r="E317" s="417"/>
      <c r="F317" s="417"/>
      <c r="G317" s="417"/>
      <c r="H317" s="417"/>
      <c r="I317" s="417"/>
      <c r="J317" s="417"/>
      <c r="K317" s="417"/>
      <c r="L317" s="417"/>
      <c r="M317" s="417"/>
      <c r="N317" s="417"/>
      <c r="O317" s="417"/>
      <c r="P317" s="417"/>
      <c r="Q317" s="417"/>
      <c r="R317" s="417"/>
      <c r="S317" s="417"/>
      <c r="T317" s="417"/>
      <c r="U317" s="417"/>
      <c r="V317" s="417"/>
      <c r="W317" s="417"/>
      <c r="X317" s="417"/>
      <c r="Y317" s="417"/>
      <c r="Z317" s="417"/>
    </row>
    <row r="318" spans="1:26" ht="15.75">
      <c r="A318" s="417"/>
      <c r="B318" s="417"/>
      <c r="C318" s="417"/>
      <c r="D318" s="417"/>
      <c r="E318" s="417"/>
      <c r="F318" s="417"/>
      <c r="G318" s="417"/>
      <c r="H318" s="417"/>
      <c r="I318" s="417"/>
      <c r="J318" s="417"/>
      <c r="K318" s="417"/>
      <c r="L318" s="417"/>
      <c r="M318" s="417"/>
      <c r="N318" s="417"/>
      <c r="O318" s="417"/>
      <c r="P318" s="417"/>
      <c r="Q318" s="417"/>
      <c r="R318" s="417"/>
      <c r="S318" s="417"/>
      <c r="T318" s="417"/>
      <c r="U318" s="417"/>
      <c r="V318" s="417"/>
      <c r="W318" s="417"/>
      <c r="X318" s="417"/>
      <c r="Y318" s="417"/>
      <c r="Z318" s="417"/>
    </row>
    <row r="319" spans="1:26" ht="15.75">
      <c r="A319" s="417"/>
      <c r="B319" s="417"/>
      <c r="C319" s="417"/>
      <c r="D319" s="417"/>
      <c r="E319" s="417"/>
      <c r="F319" s="417"/>
      <c r="G319" s="417"/>
      <c r="H319" s="417"/>
      <c r="I319" s="417"/>
      <c r="J319" s="417"/>
      <c r="K319" s="417"/>
      <c r="L319" s="417"/>
      <c r="M319" s="417"/>
      <c r="N319" s="417"/>
      <c r="O319" s="417"/>
      <c r="P319" s="417"/>
      <c r="Q319" s="417"/>
      <c r="R319" s="417"/>
      <c r="S319" s="417"/>
      <c r="T319" s="417"/>
      <c r="U319" s="417"/>
      <c r="V319" s="417"/>
      <c r="W319" s="417"/>
      <c r="X319" s="417"/>
      <c r="Y319" s="417"/>
      <c r="Z319" s="417"/>
    </row>
    <row r="320" spans="1:26" ht="15.75">
      <c r="A320" s="417"/>
      <c r="B320" s="417"/>
      <c r="C320" s="417"/>
      <c r="D320" s="417"/>
      <c r="E320" s="417"/>
      <c r="F320" s="417"/>
      <c r="G320" s="417"/>
      <c r="H320" s="417"/>
      <c r="I320" s="417"/>
      <c r="J320" s="417"/>
      <c r="K320" s="417"/>
      <c r="L320" s="417"/>
      <c r="M320" s="417"/>
      <c r="N320" s="417"/>
      <c r="O320" s="417"/>
      <c r="P320" s="417"/>
      <c r="Q320" s="417"/>
      <c r="R320" s="417"/>
      <c r="S320" s="417"/>
      <c r="T320" s="417"/>
      <c r="U320" s="417"/>
      <c r="V320" s="417"/>
      <c r="W320" s="417"/>
      <c r="X320" s="417"/>
      <c r="Y320" s="417"/>
      <c r="Z320" s="417"/>
    </row>
    <row r="321" spans="1:26" ht="15.75">
      <c r="A321" s="417"/>
      <c r="B321" s="417"/>
      <c r="C321" s="417"/>
      <c r="D321" s="417"/>
      <c r="E321" s="417"/>
      <c r="F321" s="417"/>
      <c r="G321" s="417"/>
      <c r="H321" s="417"/>
      <c r="I321" s="417"/>
      <c r="J321" s="417"/>
      <c r="K321" s="417"/>
      <c r="L321" s="417"/>
      <c r="M321" s="417"/>
      <c r="N321" s="417"/>
      <c r="O321" s="417"/>
      <c r="P321" s="417"/>
      <c r="Q321" s="417"/>
      <c r="R321" s="417"/>
      <c r="S321" s="417"/>
      <c r="T321" s="417"/>
      <c r="U321" s="417"/>
      <c r="V321" s="417"/>
      <c r="W321" s="417"/>
      <c r="X321" s="417"/>
      <c r="Y321" s="417"/>
      <c r="Z321" s="417"/>
    </row>
    <row r="322" spans="1:26" ht="15.75">
      <c r="A322" s="417"/>
      <c r="B322" s="417"/>
      <c r="C322" s="417"/>
      <c r="D322" s="417"/>
      <c r="E322" s="417"/>
      <c r="F322" s="417"/>
      <c r="G322" s="417"/>
      <c r="H322" s="417"/>
      <c r="I322" s="417"/>
      <c r="J322" s="417"/>
      <c r="K322" s="417"/>
      <c r="L322" s="417"/>
      <c r="M322" s="417"/>
      <c r="N322" s="417"/>
      <c r="O322" s="417"/>
      <c r="P322" s="417"/>
      <c r="Q322" s="417"/>
      <c r="R322" s="417"/>
      <c r="S322" s="417"/>
      <c r="T322" s="417"/>
      <c r="U322" s="417"/>
      <c r="V322" s="417"/>
      <c r="W322" s="417"/>
      <c r="X322" s="417"/>
      <c r="Y322" s="417"/>
      <c r="Z322" s="417"/>
    </row>
    <row r="323" spans="1:26" ht="15.75">
      <c r="A323" s="417"/>
      <c r="B323" s="417"/>
      <c r="C323" s="417"/>
      <c r="D323" s="417"/>
      <c r="E323" s="417"/>
      <c r="F323" s="417"/>
      <c r="G323" s="417"/>
      <c r="H323" s="417"/>
      <c r="I323" s="417"/>
      <c r="J323" s="417"/>
      <c r="K323" s="417"/>
      <c r="L323" s="417"/>
      <c r="M323" s="417"/>
      <c r="N323" s="417"/>
      <c r="O323" s="417"/>
      <c r="P323" s="417"/>
      <c r="Q323" s="417"/>
      <c r="R323" s="417"/>
      <c r="S323" s="417"/>
      <c r="T323" s="417"/>
      <c r="U323" s="417"/>
      <c r="V323" s="417"/>
      <c r="W323" s="417"/>
      <c r="X323" s="417"/>
      <c r="Y323" s="417"/>
      <c r="Z323" s="417"/>
    </row>
    <row r="324" spans="1:26" ht="15.75">
      <c r="A324" s="417"/>
      <c r="B324" s="417"/>
      <c r="C324" s="417"/>
      <c r="D324" s="417"/>
      <c r="E324" s="417"/>
      <c r="F324" s="417"/>
      <c r="G324" s="417"/>
      <c r="H324" s="417"/>
      <c r="I324" s="417"/>
      <c r="J324" s="417"/>
      <c r="K324" s="417"/>
      <c r="L324" s="417"/>
      <c r="M324" s="417"/>
      <c r="N324" s="417"/>
      <c r="O324" s="417"/>
      <c r="P324" s="417"/>
      <c r="Q324" s="417"/>
      <c r="R324" s="417"/>
      <c r="S324" s="417"/>
      <c r="T324" s="417"/>
      <c r="U324" s="417"/>
      <c r="V324" s="417"/>
      <c r="W324" s="417"/>
      <c r="X324" s="417"/>
      <c r="Y324" s="417"/>
      <c r="Z324" s="417"/>
    </row>
    <row r="325" spans="1:26" ht="15.75">
      <c r="A325" s="417"/>
      <c r="B325" s="417"/>
      <c r="C325" s="417"/>
      <c r="D325" s="417"/>
      <c r="E325" s="417"/>
      <c r="F325" s="417"/>
      <c r="G325" s="417"/>
      <c r="H325" s="417"/>
      <c r="I325" s="417"/>
      <c r="J325" s="417"/>
      <c r="K325" s="417"/>
      <c r="L325" s="417"/>
      <c r="M325" s="417"/>
      <c r="N325" s="417"/>
      <c r="O325" s="417"/>
      <c r="P325" s="417"/>
      <c r="Q325" s="417"/>
      <c r="R325" s="417"/>
      <c r="S325" s="417"/>
      <c r="T325" s="417"/>
      <c r="U325" s="417"/>
      <c r="V325" s="417"/>
      <c r="W325" s="417"/>
      <c r="X325" s="417"/>
      <c r="Y325" s="417"/>
      <c r="Z325" s="417"/>
    </row>
    <row r="326" spans="1:26" ht="15.75">
      <c r="A326" s="417"/>
      <c r="B326" s="417"/>
      <c r="C326" s="417"/>
      <c r="D326" s="417"/>
      <c r="E326" s="417"/>
      <c r="F326" s="417"/>
      <c r="G326" s="417"/>
      <c r="H326" s="417"/>
      <c r="I326" s="417"/>
      <c r="J326" s="417"/>
      <c r="K326" s="417"/>
      <c r="L326" s="417"/>
      <c r="M326" s="417"/>
      <c r="N326" s="417"/>
      <c r="O326" s="417"/>
      <c r="P326" s="417"/>
      <c r="Q326" s="417"/>
      <c r="R326" s="417"/>
      <c r="S326" s="417"/>
      <c r="T326" s="417"/>
      <c r="U326" s="417"/>
      <c r="V326" s="417"/>
      <c r="W326" s="417"/>
      <c r="X326" s="417"/>
      <c r="Y326" s="417"/>
      <c r="Z326" s="417"/>
    </row>
    <row r="327" spans="1:26" ht="15.75">
      <c r="A327" s="417"/>
      <c r="B327" s="417"/>
      <c r="C327" s="417"/>
      <c r="D327" s="417"/>
      <c r="E327" s="417"/>
      <c r="F327" s="417"/>
      <c r="G327" s="417"/>
      <c r="H327" s="417"/>
      <c r="I327" s="417"/>
      <c r="J327" s="417"/>
      <c r="K327" s="417"/>
      <c r="L327" s="417"/>
      <c r="M327" s="417"/>
      <c r="N327" s="417"/>
      <c r="O327" s="417"/>
      <c r="P327" s="417"/>
      <c r="Q327" s="417"/>
      <c r="R327" s="417"/>
      <c r="S327" s="417"/>
      <c r="T327" s="417"/>
      <c r="U327" s="417"/>
      <c r="V327" s="417"/>
      <c r="W327" s="417"/>
      <c r="X327" s="417"/>
      <c r="Y327" s="417"/>
      <c r="Z327" s="417"/>
    </row>
    <row r="328" spans="1:26" ht="15.75">
      <c r="A328" s="417"/>
      <c r="B328" s="417"/>
      <c r="C328" s="417"/>
      <c r="D328" s="417"/>
      <c r="E328" s="417"/>
      <c r="F328" s="417"/>
      <c r="G328" s="417"/>
      <c r="H328" s="417"/>
      <c r="I328" s="417"/>
      <c r="J328" s="417"/>
      <c r="K328" s="417"/>
      <c r="L328" s="417"/>
      <c r="M328" s="417"/>
      <c r="N328" s="417"/>
      <c r="O328" s="417"/>
      <c r="P328" s="417"/>
      <c r="Q328" s="417"/>
      <c r="R328" s="417"/>
      <c r="S328" s="417"/>
      <c r="T328" s="417"/>
      <c r="U328" s="417"/>
      <c r="V328" s="417"/>
      <c r="W328" s="417"/>
      <c r="X328" s="417"/>
      <c r="Y328" s="417"/>
      <c r="Z328" s="417"/>
    </row>
    <row r="329" spans="1:26" ht="15.75">
      <c r="A329" s="417"/>
      <c r="B329" s="417"/>
      <c r="C329" s="417"/>
      <c r="D329" s="417"/>
      <c r="E329" s="417"/>
      <c r="F329" s="417"/>
      <c r="G329" s="417"/>
      <c r="H329" s="417"/>
      <c r="I329" s="417"/>
      <c r="J329" s="417"/>
      <c r="K329" s="417"/>
      <c r="L329" s="417"/>
      <c r="M329" s="417"/>
      <c r="N329" s="417"/>
      <c r="O329" s="417"/>
      <c r="P329" s="417"/>
      <c r="Q329" s="417"/>
      <c r="R329" s="417"/>
      <c r="S329" s="417"/>
      <c r="T329" s="417"/>
      <c r="U329" s="417"/>
      <c r="V329" s="417"/>
      <c r="W329" s="417"/>
      <c r="X329" s="417"/>
      <c r="Y329" s="417"/>
      <c r="Z329" s="417"/>
    </row>
    <row r="330" spans="1:26" ht="15.75">
      <c r="A330" s="417"/>
      <c r="B330" s="417"/>
      <c r="C330" s="417"/>
      <c r="D330" s="417"/>
      <c r="E330" s="417"/>
      <c r="F330" s="417"/>
      <c r="G330" s="417"/>
      <c r="H330" s="417"/>
      <c r="I330" s="417"/>
      <c r="J330" s="417"/>
      <c r="K330" s="417"/>
      <c r="L330" s="417"/>
      <c r="M330" s="417"/>
      <c r="N330" s="417"/>
      <c r="O330" s="417"/>
      <c r="P330" s="417"/>
      <c r="Q330" s="417"/>
      <c r="R330" s="417"/>
      <c r="S330" s="417"/>
      <c r="T330" s="417"/>
      <c r="U330" s="417"/>
      <c r="V330" s="417"/>
      <c r="W330" s="417"/>
      <c r="X330" s="417"/>
      <c r="Y330" s="417"/>
      <c r="Z330" s="417"/>
    </row>
    <row r="331" spans="1:26" ht="15.75">
      <c r="A331" s="417"/>
      <c r="B331" s="417"/>
      <c r="C331" s="417"/>
      <c r="D331" s="417"/>
      <c r="E331" s="417"/>
      <c r="F331" s="417"/>
      <c r="G331" s="417"/>
      <c r="H331" s="417"/>
      <c r="I331" s="417"/>
      <c r="J331" s="417"/>
      <c r="K331" s="417"/>
      <c r="L331" s="417"/>
      <c r="M331" s="417"/>
      <c r="N331" s="417"/>
      <c r="O331" s="417"/>
      <c r="P331" s="417"/>
      <c r="Q331" s="417"/>
      <c r="R331" s="417"/>
      <c r="S331" s="417"/>
      <c r="T331" s="417"/>
      <c r="U331" s="417"/>
      <c r="V331" s="417"/>
      <c r="W331" s="417"/>
      <c r="X331" s="417"/>
      <c r="Y331" s="417"/>
      <c r="Z331" s="417"/>
    </row>
    <row r="332" spans="1:26" ht="15.75">
      <c r="A332" s="417"/>
      <c r="B332" s="417"/>
      <c r="C332" s="417"/>
      <c r="D332" s="417"/>
      <c r="E332" s="417"/>
      <c r="F332" s="417"/>
      <c r="G332" s="417"/>
      <c r="H332" s="417"/>
      <c r="I332" s="417"/>
      <c r="J332" s="417"/>
      <c r="K332" s="417"/>
      <c r="L332" s="417"/>
      <c r="M332" s="417"/>
      <c r="N332" s="417"/>
      <c r="O332" s="417"/>
      <c r="P332" s="417"/>
      <c r="Q332" s="417"/>
      <c r="R332" s="417"/>
      <c r="S332" s="417"/>
      <c r="T332" s="417"/>
      <c r="U332" s="417"/>
      <c r="V332" s="417"/>
      <c r="W332" s="417"/>
      <c r="X332" s="417"/>
      <c r="Y332" s="417"/>
      <c r="Z332" s="417"/>
    </row>
    <row r="333" spans="1:26" ht="15.75">
      <c r="A333" s="417"/>
      <c r="B333" s="417"/>
      <c r="C333" s="417"/>
      <c r="D333" s="417"/>
      <c r="E333" s="417"/>
      <c r="F333" s="417"/>
      <c r="G333" s="417"/>
      <c r="H333" s="417"/>
      <c r="I333" s="417"/>
      <c r="J333" s="417"/>
      <c r="K333" s="417"/>
      <c r="L333" s="417"/>
      <c r="M333" s="417"/>
      <c r="N333" s="417"/>
      <c r="O333" s="417"/>
      <c r="P333" s="417"/>
      <c r="Q333" s="417"/>
      <c r="R333" s="417"/>
      <c r="S333" s="417"/>
      <c r="T333" s="417"/>
      <c r="U333" s="417"/>
      <c r="V333" s="417"/>
      <c r="W333" s="417"/>
      <c r="X333" s="417"/>
      <c r="Y333" s="417"/>
      <c r="Z333" s="417"/>
    </row>
    <row r="334" spans="1:26" ht="15.75">
      <c r="A334" s="417"/>
      <c r="B334" s="417"/>
      <c r="C334" s="417"/>
      <c r="D334" s="417"/>
      <c r="E334" s="417"/>
      <c r="F334" s="417"/>
      <c r="G334" s="417"/>
      <c r="H334" s="417"/>
      <c r="I334" s="417"/>
      <c r="J334" s="417"/>
      <c r="K334" s="417"/>
      <c r="L334" s="417"/>
      <c r="M334" s="417"/>
      <c r="N334" s="417"/>
      <c r="O334" s="417"/>
      <c r="P334" s="417"/>
      <c r="Q334" s="417"/>
      <c r="R334" s="417"/>
      <c r="S334" s="417"/>
      <c r="T334" s="417"/>
      <c r="U334" s="417"/>
      <c r="V334" s="417"/>
      <c r="W334" s="417"/>
      <c r="X334" s="417"/>
      <c r="Y334" s="417"/>
      <c r="Z334" s="417"/>
    </row>
    <row r="335" spans="1:26" ht="15.75">
      <c r="A335" s="417"/>
      <c r="B335" s="417"/>
      <c r="C335" s="417"/>
      <c r="D335" s="417"/>
      <c r="E335" s="417"/>
      <c r="F335" s="417"/>
      <c r="G335" s="417"/>
      <c r="H335" s="417"/>
      <c r="I335" s="417"/>
      <c r="J335" s="417"/>
      <c r="K335" s="417"/>
      <c r="L335" s="417"/>
      <c r="M335" s="417"/>
      <c r="N335" s="417"/>
      <c r="O335" s="417"/>
      <c r="P335" s="417"/>
      <c r="Q335" s="417"/>
      <c r="R335" s="417"/>
      <c r="S335" s="417"/>
      <c r="T335" s="417"/>
      <c r="U335" s="417"/>
      <c r="V335" s="417"/>
      <c r="W335" s="417"/>
      <c r="X335" s="417"/>
      <c r="Y335" s="417"/>
      <c r="Z335" s="417"/>
    </row>
    <row r="336" spans="1:26" ht="15.75">
      <c r="A336" s="417"/>
      <c r="B336" s="417"/>
      <c r="C336" s="417"/>
      <c r="D336" s="417"/>
      <c r="E336" s="417"/>
      <c r="F336" s="417"/>
      <c r="G336" s="417"/>
      <c r="H336" s="417"/>
      <c r="I336" s="417"/>
      <c r="J336" s="417"/>
      <c r="K336" s="417"/>
      <c r="L336" s="417"/>
      <c r="M336" s="417"/>
      <c r="N336" s="417"/>
      <c r="O336" s="417"/>
      <c r="P336" s="417"/>
      <c r="Q336" s="417"/>
      <c r="R336" s="417"/>
      <c r="S336" s="417"/>
      <c r="T336" s="417"/>
      <c r="U336" s="417"/>
      <c r="V336" s="417"/>
      <c r="W336" s="417"/>
      <c r="X336" s="417"/>
      <c r="Y336" s="417"/>
      <c r="Z336" s="417"/>
    </row>
    <row r="337" spans="1:26" ht="15.75">
      <c r="A337" s="417"/>
      <c r="B337" s="417"/>
      <c r="C337" s="417"/>
      <c r="D337" s="417"/>
      <c r="E337" s="417"/>
      <c r="F337" s="417"/>
      <c r="G337" s="417"/>
      <c r="H337" s="417"/>
      <c r="I337" s="417"/>
      <c r="J337" s="417"/>
      <c r="K337" s="417"/>
      <c r="L337" s="417"/>
      <c r="M337" s="417"/>
      <c r="N337" s="417"/>
      <c r="O337" s="417"/>
      <c r="P337" s="417"/>
      <c r="Q337" s="417"/>
      <c r="R337" s="417"/>
      <c r="S337" s="417"/>
      <c r="T337" s="417"/>
      <c r="U337" s="417"/>
      <c r="V337" s="417"/>
      <c r="W337" s="417"/>
      <c r="X337" s="417"/>
      <c r="Y337" s="417"/>
      <c r="Z337" s="417"/>
    </row>
    <row r="338" spans="1:26" ht="15.75">
      <c r="A338" s="417"/>
      <c r="B338" s="417"/>
      <c r="C338" s="417"/>
      <c r="D338" s="417"/>
      <c r="E338" s="417"/>
      <c r="F338" s="417"/>
      <c r="G338" s="417"/>
      <c r="H338" s="417"/>
      <c r="I338" s="417"/>
      <c r="J338" s="417"/>
      <c r="K338" s="417"/>
      <c r="L338" s="417"/>
      <c r="M338" s="417"/>
      <c r="N338" s="417"/>
      <c r="O338" s="417"/>
      <c r="P338" s="417"/>
      <c r="Q338" s="417"/>
      <c r="R338" s="417"/>
      <c r="S338" s="417"/>
      <c r="T338" s="417"/>
      <c r="U338" s="417"/>
      <c r="V338" s="417"/>
      <c r="W338" s="417"/>
      <c r="X338" s="417"/>
      <c r="Y338" s="417"/>
      <c r="Z338" s="417"/>
    </row>
    <row r="339" spans="1:26" ht="15.75">
      <c r="A339" s="417"/>
      <c r="B339" s="417"/>
      <c r="C339" s="417"/>
      <c r="D339" s="417"/>
      <c r="E339" s="417"/>
      <c r="F339" s="417"/>
      <c r="G339" s="417"/>
      <c r="H339" s="417"/>
      <c r="I339" s="417"/>
      <c r="J339" s="417"/>
      <c r="K339" s="417"/>
      <c r="L339" s="417"/>
      <c r="M339" s="417"/>
      <c r="N339" s="417"/>
      <c r="O339" s="417"/>
      <c r="P339" s="417"/>
      <c r="Q339" s="417"/>
      <c r="R339" s="417"/>
      <c r="S339" s="417"/>
      <c r="T339" s="417"/>
      <c r="U339" s="417"/>
      <c r="V339" s="417"/>
      <c r="W339" s="417"/>
      <c r="X339" s="417"/>
      <c r="Y339" s="417"/>
      <c r="Z339" s="417"/>
    </row>
    <row r="340" spans="1:26" ht="15.75">
      <c r="A340" s="417"/>
      <c r="B340" s="417"/>
      <c r="C340" s="417"/>
      <c r="D340" s="417"/>
      <c r="E340" s="417"/>
      <c r="F340" s="417"/>
      <c r="G340" s="417"/>
      <c r="H340" s="417"/>
      <c r="I340" s="417"/>
      <c r="J340" s="417"/>
      <c r="K340" s="417"/>
      <c r="L340" s="417"/>
      <c r="M340" s="417"/>
      <c r="N340" s="417"/>
      <c r="O340" s="417"/>
      <c r="P340" s="417"/>
      <c r="Q340" s="417"/>
      <c r="R340" s="417"/>
      <c r="S340" s="417"/>
      <c r="T340" s="417"/>
      <c r="U340" s="417"/>
      <c r="V340" s="417"/>
      <c r="W340" s="417"/>
      <c r="X340" s="417"/>
      <c r="Y340" s="417"/>
      <c r="Z340" s="417"/>
    </row>
    <row r="341" spans="1:26" ht="15.75">
      <c r="A341" s="417"/>
      <c r="B341" s="417"/>
      <c r="C341" s="417"/>
      <c r="D341" s="417"/>
      <c r="E341" s="417"/>
      <c r="F341" s="417"/>
      <c r="G341" s="417"/>
      <c r="H341" s="417"/>
      <c r="I341" s="417"/>
      <c r="J341" s="417"/>
      <c r="K341" s="417"/>
      <c r="L341" s="417"/>
      <c r="M341" s="417"/>
      <c r="N341" s="417"/>
      <c r="O341" s="417"/>
      <c r="P341" s="417"/>
      <c r="Q341" s="417"/>
      <c r="R341" s="417"/>
      <c r="S341" s="417"/>
      <c r="T341" s="417"/>
      <c r="U341" s="417"/>
      <c r="V341" s="417"/>
      <c r="W341" s="417"/>
      <c r="X341" s="417"/>
      <c r="Y341" s="417"/>
      <c r="Z341" s="417"/>
    </row>
    <row r="342" spans="1:26" ht="15.75">
      <c r="A342" s="417"/>
      <c r="B342" s="417"/>
      <c r="C342" s="417"/>
      <c r="D342" s="417"/>
      <c r="E342" s="417"/>
      <c r="F342" s="417"/>
      <c r="G342" s="417"/>
      <c r="H342" s="417"/>
      <c r="I342" s="417"/>
      <c r="J342" s="417"/>
      <c r="K342" s="417"/>
      <c r="L342" s="417"/>
      <c r="M342" s="417"/>
      <c r="N342" s="417"/>
      <c r="O342" s="417"/>
      <c r="P342" s="417"/>
      <c r="Q342" s="417"/>
      <c r="R342" s="417"/>
      <c r="S342" s="417"/>
      <c r="T342" s="417"/>
      <c r="U342" s="417"/>
      <c r="V342" s="417"/>
      <c r="W342" s="417"/>
      <c r="X342" s="417"/>
      <c r="Y342" s="417"/>
      <c r="Z342" s="417"/>
    </row>
    <row r="343" spans="1:26" ht="15.75">
      <c r="A343" s="417"/>
      <c r="B343" s="417"/>
      <c r="C343" s="417"/>
      <c r="D343" s="417"/>
      <c r="E343" s="417"/>
      <c r="F343" s="417"/>
      <c r="G343" s="417"/>
      <c r="H343" s="417"/>
      <c r="I343" s="417"/>
      <c r="J343" s="417"/>
      <c r="K343" s="417"/>
      <c r="L343" s="417"/>
      <c r="M343" s="417"/>
      <c r="N343" s="417"/>
      <c r="O343" s="417"/>
      <c r="P343" s="417"/>
      <c r="Q343" s="417"/>
      <c r="R343" s="417"/>
      <c r="S343" s="417"/>
      <c r="T343" s="417"/>
      <c r="U343" s="417"/>
      <c r="V343" s="417"/>
      <c r="W343" s="417"/>
      <c r="X343" s="417"/>
      <c r="Y343" s="417"/>
      <c r="Z343" s="417"/>
    </row>
    <row r="344" spans="1:26" ht="15.75">
      <c r="A344" s="417"/>
      <c r="B344" s="417"/>
      <c r="C344" s="417"/>
      <c r="D344" s="417"/>
      <c r="E344" s="417"/>
      <c r="F344" s="417"/>
      <c r="G344" s="417"/>
      <c r="H344" s="417"/>
      <c r="I344" s="417"/>
      <c r="J344" s="417"/>
      <c r="K344" s="417"/>
      <c r="L344" s="417"/>
      <c r="M344" s="417"/>
      <c r="N344" s="417"/>
      <c r="O344" s="417"/>
      <c r="P344" s="417"/>
      <c r="Q344" s="417"/>
      <c r="R344" s="417"/>
      <c r="S344" s="417"/>
      <c r="T344" s="417"/>
      <c r="U344" s="417"/>
      <c r="V344" s="417"/>
      <c r="W344" s="417"/>
      <c r="X344" s="417"/>
      <c r="Y344" s="417"/>
      <c r="Z344" s="417"/>
    </row>
    <row r="345" spans="1:26" ht="15.75">
      <c r="A345" s="417"/>
      <c r="B345" s="417"/>
      <c r="C345" s="417"/>
      <c r="D345" s="417"/>
      <c r="E345" s="417"/>
      <c r="F345" s="417"/>
      <c r="G345" s="417"/>
      <c r="H345" s="417"/>
      <c r="I345" s="417"/>
      <c r="J345" s="417"/>
      <c r="K345" s="417"/>
      <c r="L345" s="417"/>
      <c r="M345" s="417"/>
      <c r="N345" s="417"/>
      <c r="O345" s="417"/>
      <c r="P345" s="417"/>
      <c r="Q345" s="417"/>
      <c r="R345" s="417"/>
      <c r="S345" s="417"/>
      <c r="T345" s="417"/>
      <c r="U345" s="417"/>
      <c r="V345" s="417"/>
      <c r="W345" s="417"/>
      <c r="X345" s="417"/>
      <c r="Y345" s="417"/>
      <c r="Z345" s="417"/>
    </row>
    <row r="346" spans="1:26" ht="15.75">
      <c r="A346" s="417"/>
      <c r="B346" s="417"/>
      <c r="C346" s="417"/>
      <c r="D346" s="417"/>
      <c r="E346" s="417"/>
      <c r="F346" s="417"/>
      <c r="G346" s="417"/>
      <c r="H346" s="417"/>
      <c r="I346" s="417"/>
      <c r="J346" s="417"/>
      <c r="K346" s="417"/>
      <c r="L346" s="417"/>
      <c r="M346" s="417"/>
      <c r="N346" s="417"/>
      <c r="O346" s="417"/>
      <c r="P346" s="417"/>
      <c r="Q346" s="417"/>
      <c r="R346" s="417"/>
      <c r="S346" s="417"/>
      <c r="T346" s="417"/>
      <c r="U346" s="417"/>
      <c r="V346" s="417"/>
      <c r="W346" s="417"/>
      <c r="X346" s="417"/>
      <c r="Y346" s="417"/>
      <c r="Z346" s="417"/>
    </row>
    <row r="347" spans="1:26" ht="15.75">
      <c r="A347" s="417"/>
      <c r="B347" s="417"/>
      <c r="C347" s="417"/>
      <c r="D347" s="417"/>
      <c r="E347" s="417"/>
      <c r="F347" s="417"/>
      <c r="G347" s="417"/>
      <c r="H347" s="417"/>
      <c r="I347" s="417"/>
      <c r="J347" s="417"/>
      <c r="K347" s="417"/>
      <c r="L347" s="417"/>
      <c r="M347" s="417"/>
      <c r="N347" s="417"/>
      <c r="O347" s="417"/>
      <c r="P347" s="417"/>
      <c r="Q347" s="417"/>
      <c r="R347" s="417"/>
      <c r="S347" s="417"/>
      <c r="T347" s="417"/>
      <c r="U347" s="417"/>
      <c r="V347" s="417"/>
      <c r="W347" s="417"/>
      <c r="X347" s="417"/>
      <c r="Y347" s="417"/>
      <c r="Z347" s="417"/>
    </row>
    <row r="348" spans="1:26" ht="15.75">
      <c r="A348" s="417"/>
      <c r="B348" s="417"/>
      <c r="C348" s="417"/>
      <c r="D348" s="417"/>
      <c r="E348" s="417"/>
      <c r="F348" s="417"/>
      <c r="G348" s="417"/>
      <c r="H348" s="417"/>
      <c r="I348" s="417"/>
      <c r="J348" s="417"/>
      <c r="K348" s="417"/>
      <c r="L348" s="417"/>
      <c r="M348" s="417"/>
      <c r="N348" s="417"/>
      <c r="O348" s="417"/>
      <c r="P348" s="417"/>
      <c r="Q348" s="417"/>
      <c r="R348" s="417"/>
      <c r="S348" s="417"/>
      <c r="T348" s="417"/>
      <c r="U348" s="417"/>
      <c r="V348" s="417"/>
      <c r="W348" s="417"/>
      <c r="X348" s="417"/>
      <c r="Y348" s="417"/>
      <c r="Z348" s="417"/>
    </row>
    <row r="349" spans="1:26" ht="15.75">
      <c r="A349" s="417"/>
      <c r="B349" s="417"/>
      <c r="C349" s="417"/>
      <c r="D349" s="417"/>
      <c r="E349" s="417"/>
      <c r="F349" s="417"/>
      <c r="G349" s="417"/>
      <c r="H349" s="417"/>
      <c r="I349" s="417"/>
      <c r="J349" s="417"/>
      <c r="K349" s="417"/>
      <c r="L349" s="417"/>
      <c r="M349" s="417"/>
      <c r="N349" s="417"/>
      <c r="O349" s="417"/>
      <c r="P349" s="417"/>
      <c r="Q349" s="417"/>
      <c r="R349" s="417"/>
      <c r="S349" s="417"/>
      <c r="T349" s="417"/>
      <c r="U349" s="417"/>
      <c r="V349" s="417"/>
      <c r="W349" s="417"/>
      <c r="X349" s="417"/>
      <c r="Y349" s="417"/>
      <c r="Z349" s="417"/>
    </row>
    <row r="350" spans="1:26" ht="15.75">
      <c r="A350" s="417"/>
      <c r="B350" s="417"/>
      <c r="C350" s="417"/>
      <c r="D350" s="417"/>
      <c r="E350" s="417"/>
      <c r="F350" s="417"/>
      <c r="G350" s="417"/>
      <c r="H350" s="417"/>
      <c r="I350" s="417"/>
      <c r="J350" s="417"/>
      <c r="K350" s="417"/>
      <c r="L350" s="417"/>
      <c r="M350" s="417"/>
      <c r="N350" s="417"/>
      <c r="O350" s="417"/>
      <c r="P350" s="417"/>
      <c r="Q350" s="417"/>
      <c r="R350" s="417"/>
      <c r="S350" s="417"/>
      <c r="T350" s="417"/>
      <c r="U350" s="417"/>
      <c r="V350" s="417"/>
      <c r="W350" s="417"/>
      <c r="X350" s="417"/>
      <c r="Y350" s="417"/>
      <c r="Z350" s="417"/>
    </row>
    <row r="351" spans="1:26" ht="15.75">
      <c r="A351" s="417"/>
      <c r="B351" s="417"/>
      <c r="C351" s="417"/>
      <c r="D351" s="417"/>
      <c r="E351" s="417"/>
      <c r="F351" s="417"/>
      <c r="G351" s="417"/>
      <c r="H351" s="417"/>
      <c r="I351" s="417"/>
      <c r="J351" s="417"/>
      <c r="K351" s="417"/>
      <c r="L351" s="417"/>
      <c r="M351" s="417"/>
      <c r="N351" s="417"/>
      <c r="O351" s="417"/>
      <c r="P351" s="417"/>
      <c r="Q351" s="417"/>
      <c r="R351" s="417"/>
      <c r="S351" s="417"/>
      <c r="T351" s="417"/>
      <c r="U351" s="417"/>
      <c r="V351" s="417"/>
      <c r="W351" s="417"/>
      <c r="X351" s="417"/>
      <c r="Y351" s="417"/>
      <c r="Z351" s="417"/>
    </row>
    <row r="352" spans="1:26" ht="15.75">
      <c r="A352" s="417"/>
      <c r="B352" s="417"/>
      <c r="C352" s="417"/>
      <c r="D352" s="417"/>
      <c r="E352" s="417"/>
      <c r="F352" s="417"/>
      <c r="G352" s="417"/>
      <c r="H352" s="417"/>
      <c r="I352" s="417"/>
      <c r="J352" s="417"/>
      <c r="K352" s="417"/>
      <c r="L352" s="417"/>
      <c r="M352" s="417"/>
      <c r="N352" s="417"/>
      <c r="O352" s="417"/>
      <c r="P352" s="417"/>
      <c r="Q352" s="417"/>
      <c r="R352" s="417"/>
      <c r="S352" s="417"/>
      <c r="T352" s="417"/>
      <c r="U352" s="417"/>
      <c r="V352" s="417"/>
      <c r="W352" s="417"/>
      <c r="X352" s="417"/>
      <c r="Y352" s="417"/>
      <c r="Z352" s="417"/>
    </row>
    <row r="353" spans="1:26" ht="15.75">
      <c r="A353" s="417"/>
      <c r="B353" s="417"/>
      <c r="C353" s="417"/>
      <c r="D353" s="417"/>
      <c r="E353" s="417"/>
      <c r="F353" s="417"/>
      <c r="G353" s="417"/>
      <c r="H353" s="417"/>
      <c r="I353" s="417"/>
      <c r="J353" s="417"/>
      <c r="K353" s="417"/>
      <c r="L353" s="417"/>
      <c r="M353" s="417"/>
      <c r="N353" s="417"/>
      <c r="O353" s="417"/>
      <c r="P353" s="417"/>
      <c r="Q353" s="417"/>
      <c r="R353" s="417"/>
      <c r="S353" s="417"/>
      <c r="T353" s="417"/>
      <c r="U353" s="417"/>
      <c r="V353" s="417"/>
      <c r="W353" s="417"/>
      <c r="X353" s="417"/>
      <c r="Y353" s="417"/>
      <c r="Z353" s="417"/>
    </row>
    <row r="354" spans="1:26" ht="15.75">
      <c r="A354" s="417"/>
      <c r="B354" s="417"/>
      <c r="C354" s="417"/>
      <c r="D354" s="417"/>
      <c r="E354" s="417"/>
      <c r="F354" s="417"/>
      <c r="G354" s="417"/>
      <c r="H354" s="417"/>
      <c r="I354" s="417"/>
      <c r="J354" s="417"/>
      <c r="K354" s="417"/>
      <c r="L354" s="417"/>
      <c r="M354" s="417"/>
      <c r="N354" s="417"/>
      <c r="O354" s="417"/>
      <c r="P354" s="417"/>
      <c r="Q354" s="417"/>
      <c r="R354" s="417"/>
      <c r="S354" s="417"/>
      <c r="T354" s="417"/>
      <c r="U354" s="417"/>
      <c r="V354" s="417"/>
      <c r="W354" s="417"/>
      <c r="X354" s="417"/>
      <c r="Y354" s="417"/>
      <c r="Z354" s="417"/>
    </row>
    <row r="355" spans="1:26" ht="15.75">
      <c r="A355" s="417"/>
      <c r="B355" s="417"/>
      <c r="C355" s="417"/>
      <c r="D355" s="417"/>
      <c r="E355" s="417"/>
      <c r="F355" s="417"/>
      <c r="G355" s="417"/>
      <c r="H355" s="417"/>
      <c r="I355" s="417"/>
      <c r="J355" s="417"/>
      <c r="K355" s="417"/>
      <c r="L355" s="417"/>
      <c r="M355" s="417"/>
      <c r="N355" s="417"/>
      <c r="O355" s="417"/>
      <c r="P355" s="417"/>
      <c r="Q355" s="417"/>
      <c r="R355" s="417"/>
      <c r="S355" s="417"/>
      <c r="T355" s="417"/>
      <c r="U355" s="417"/>
      <c r="V355" s="417"/>
      <c r="W355" s="417"/>
      <c r="X355" s="417"/>
      <c r="Y355" s="417"/>
      <c r="Z355" s="417"/>
    </row>
    <row r="356" spans="1:26" ht="15.75">
      <c r="A356" s="417"/>
      <c r="B356" s="417"/>
      <c r="C356" s="417"/>
      <c r="D356" s="417"/>
      <c r="E356" s="417"/>
      <c r="F356" s="417"/>
      <c r="G356" s="417"/>
      <c r="H356" s="417"/>
      <c r="I356" s="417"/>
      <c r="J356" s="417"/>
      <c r="K356" s="417"/>
      <c r="L356" s="417"/>
      <c r="M356" s="417"/>
      <c r="N356" s="417"/>
      <c r="O356" s="417"/>
      <c r="P356" s="417"/>
      <c r="Q356" s="417"/>
      <c r="R356" s="417"/>
      <c r="S356" s="417"/>
      <c r="T356" s="417"/>
      <c r="U356" s="417"/>
      <c r="V356" s="417"/>
      <c r="W356" s="417"/>
      <c r="X356" s="417"/>
      <c r="Y356" s="417"/>
      <c r="Z356" s="417"/>
    </row>
    <row r="357" spans="1:26" ht="15.75">
      <c r="A357" s="417"/>
      <c r="B357" s="417"/>
      <c r="C357" s="417"/>
      <c r="D357" s="417"/>
      <c r="E357" s="417"/>
      <c r="F357" s="417"/>
      <c r="G357" s="417"/>
      <c r="H357" s="417"/>
      <c r="I357" s="417"/>
      <c r="J357" s="417"/>
      <c r="K357" s="417"/>
      <c r="L357" s="417"/>
      <c r="M357" s="417"/>
      <c r="N357" s="417"/>
      <c r="O357" s="417"/>
      <c r="P357" s="417"/>
      <c r="Q357" s="417"/>
      <c r="R357" s="417"/>
      <c r="S357" s="417"/>
      <c r="T357" s="417"/>
      <c r="U357" s="417"/>
      <c r="V357" s="417"/>
      <c r="W357" s="417"/>
      <c r="X357" s="417"/>
      <c r="Y357" s="417"/>
      <c r="Z357" s="417"/>
    </row>
    <row r="358" spans="1:26" ht="15.75">
      <c r="A358" s="417"/>
      <c r="B358" s="417"/>
      <c r="C358" s="417"/>
      <c r="D358" s="417"/>
      <c r="E358" s="417"/>
      <c r="F358" s="417"/>
      <c r="G358" s="417"/>
      <c r="H358" s="417"/>
      <c r="I358" s="417"/>
      <c r="J358" s="417"/>
      <c r="K358" s="417"/>
      <c r="L358" s="417"/>
      <c r="M358" s="417"/>
      <c r="N358" s="417"/>
      <c r="O358" s="417"/>
      <c r="P358" s="417"/>
      <c r="Q358" s="417"/>
      <c r="R358" s="417"/>
      <c r="S358" s="417"/>
      <c r="T358" s="417"/>
      <c r="U358" s="417"/>
      <c r="V358" s="417"/>
      <c r="W358" s="417"/>
      <c r="X358" s="417"/>
      <c r="Y358" s="417"/>
      <c r="Z358" s="417"/>
    </row>
    <row r="359" spans="1:26" ht="15.75">
      <c r="A359" s="417"/>
      <c r="B359" s="417"/>
      <c r="C359" s="417"/>
      <c r="D359" s="417"/>
      <c r="E359" s="417"/>
      <c r="F359" s="417"/>
      <c r="G359" s="417"/>
      <c r="H359" s="417"/>
      <c r="I359" s="417"/>
      <c r="J359" s="417"/>
      <c r="K359" s="417"/>
      <c r="L359" s="417"/>
      <c r="M359" s="417"/>
      <c r="N359" s="417"/>
      <c r="O359" s="417"/>
      <c r="P359" s="417"/>
      <c r="Q359" s="417"/>
      <c r="R359" s="417"/>
      <c r="S359" s="417"/>
      <c r="T359" s="417"/>
      <c r="U359" s="417"/>
      <c r="V359" s="417"/>
      <c r="W359" s="417"/>
      <c r="X359" s="417"/>
      <c r="Y359" s="417"/>
      <c r="Z359" s="417"/>
    </row>
    <row r="360" spans="1:26" ht="15.75">
      <c r="A360" s="417"/>
      <c r="B360" s="417"/>
      <c r="C360" s="417"/>
      <c r="D360" s="417"/>
      <c r="E360" s="417"/>
      <c r="F360" s="417"/>
      <c r="G360" s="417"/>
      <c r="H360" s="417"/>
      <c r="I360" s="417"/>
      <c r="J360" s="417"/>
      <c r="K360" s="417"/>
      <c r="L360" s="417"/>
      <c r="M360" s="417"/>
      <c r="N360" s="417"/>
      <c r="O360" s="417"/>
      <c r="P360" s="417"/>
      <c r="Q360" s="417"/>
      <c r="R360" s="417"/>
      <c r="S360" s="417"/>
      <c r="T360" s="417"/>
      <c r="U360" s="417"/>
      <c r="V360" s="417"/>
      <c r="W360" s="417"/>
      <c r="X360" s="417"/>
      <c r="Y360" s="417"/>
      <c r="Z360" s="417"/>
    </row>
    <row r="361" spans="1:26" ht="15.75">
      <c r="A361" s="417"/>
      <c r="B361" s="417"/>
      <c r="C361" s="417"/>
      <c r="D361" s="417"/>
      <c r="E361" s="417"/>
      <c r="F361" s="417"/>
      <c r="G361" s="417"/>
      <c r="H361" s="417"/>
      <c r="I361" s="417"/>
      <c r="J361" s="417"/>
      <c r="K361" s="417"/>
      <c r="L361" s="417"/>
      <c r="M361" s="417"/>
      <c r="N361" s="417"/>
      <c r="O361" s="417"/>
      <c r="P361" s="417"/>
      <c r="Q361" s="417"/>
      <c r="R361" s="417"/>
      <c r="S361" s="417"/>
      <c r="T361" s="417"/>
      <c r="U361" s="417"/>
      <c r="V361" s="417"/>
      <c r="W361" s="417"/>
      <c r="X361" s="417"/>
      <c r="Y361" s="417"/>
      <c r="Z361" s="417"/>
    </row>
    <row r="362" spans="1:26" ht="15.75">
      <c r="A362" s="417"/>
      <c r="B362" s="417"/>
      <c r="C362" s="417"/>
      <c r="D362" s="417"/>
      <c r="E362" s="417"/>
      <c r="F362" s="417"/>
      <c r="G362" s="417"/>
      <c r="H362" s="417"/>
      <c r="I362" s="417"/>
      <c r="J362" s="417"/>
      <c r="K362" s="417"/>
      <c r="L362" s="417"/>
      <c r="M362" s="417"/>
      <c r="N362" s="417"/>
      <c r="O362" s="417"/>
      <c r="P362" s="417"/>
      <c r="Q362" s="417"/>
      <c r="R362" s="417"/>
      <c r="S362" s="417"/>
      <c r="T362" s="417"/>
      <c r="U362" s="417"/>
      <c r="V362" s="417"/>
      <c r="W362" s="417"/>
      <c r="X362" s="417"/>
      <c r="Y362" s="417"/>
      <c r="Z362" s="417"/>
    </row>
    <row r="363" spans="1:26" ht="15.75">
      <c r="A363" s="417"/>
      <c r="B363" s="417"/>
      <c r="C363" s="417"/>
      <c r="D363" s="417"/>
      <c r="E363" s="417"/>
      <c r="F363" s="417"/>
      <c r="G363" s="417"/>
      <c r="H363" s="417"/>
      <c r="I363" s="417"/>
      <c r="J363" s="417"/>
      <c r="K363" s="417"/>
      <c r="L363" s="417"/>
      <c r="M363" s="417"/>
      <c r="N363" s="417"/>
      <c r="O363" s="417"/>
      <c r="P363" s="417"/>
      <c r="Q363" s="417"/>
      <c r="R363" s="417"/>
      <c r="S363" s="417"/>
      <c r="T363" s="417"/>
      <c r="U363" s="417"/>
      <c r="V363" s="417"/>
      <c r="W363" s="417"/>
      <c r="X363" s="417"/>
      <c r="Y363" s="417"/>
      <c r="Z363" s="417"/>
    </row>
    <row r="364" spans="1:26" ht="15.75">
      <c r="A364" s="417"/>
      <c r="B364" s="417"/>
      <c r="C364" s="417"/>
      <c r="D364" s="417"/>
      <c r="E364" s="417"/>
      <c r="F364" s="417"/>
      <c r="G364" s="417"/>
      <c r="H364" s="417"/>
      <c r="I364" s="417"/>
      <c r="J364" s="417"/>
      <c r="K364" s="417"/>
      <c r="L364" s="417"/>
      <c r="M364" s="417"/>
      <c r="N364" s="417"/>
      <c r="O364" s="417"/>
      <c r="P364" s="417"/>
      <c r="Q364" s="417"/>
      <c r="R364" s="417"/>
      <c r="S364" s="417"/>
      <c r="T364" s="417"/>
      <c r="U364" s="417"/>
      <c r="V364" s="417"/>
      <c r="W364" s="417"/>
      <c r="X364" s="417"/>
      <c r="Y364" s="417"/>
      <c r="Z364" s="417"/>
    </row>
    <row r="365" spans="1:26" ht="15.75">
      <c r="A365" s="417"/>
      <c r="B365" s="417"/>
      <c r="C365" s="417"/>
      <c r="D365" s="417"/>
      <c r="E365" s="417"/>
      <c r="F365" s="417"/>
      <c r="G365" s="417"/>
      <c r="H365" s="417"/>
      <c r="I365" s="417"/>
      <c r="J365" s="417"/>
      <c r="K365" s="417"/>
      <c r="L365" s="417"/>
      <c r="M365" s="417"/>
      <c r="N365" s="417"/>
      <c r="O365" s="417"/>
      <c r="P365" s="417"/>
      <c r="Q365" s="417"/>
      <c r="R365" s="417"/>
      <c r="S365" s="417"/>
      <c r="T365" s="417"/>
      <c r="U365" s="417"/>
      <c r="V365" s="417"/>
      <c r="W365" s="417"/>
      <c r="X365" s="417"/>
      <c r="Y365" s="417"/>
      <c r="Z365" s="417"/>
    </row>
    <row r="366" spans="1:26" ht="15.75">
      <c r="A366" s="417"/>
      <c r="B366" s="417"/>
      <c r="C366" s="417"/>
      <c r="D366" s="417"/>
      <c r="E366" s="417"/>
      <c r="F366" s="417"/>
      <c r="G366" s="417"/>
      <c r="H366" s="417"/>
      <c r="I366" s="417"/>
      <c r="J366" s="417"/>
      <c r="K366" s="417"/>
      <c r="L366" s="417"/>
      <c r="M366" s="417"/>
      <c r="N366" s="417"/>
      <c r="O366" s="417"/>
      <c r="P366" s="417"/>
      <c r="Q366" s="417"/>
      <c r="R366" s="417"/>
      <c r="S366" s="417"/>
      <c r="T366" s="417"/>
      <c r="U366" s="417"/>
      <c r="V366" s="417"/>
      <c r="W366" s="417"/>
      <c r="X366" s="417"/>
      <c r="Y366" s="417"/>
      <c r="Z366" s="417"/>
    </row>
    <row r="367" spans="1:26" ht="15.75">
      <c r="A367" s="417"/>
      <c r="B367" s="417"/>
      <c r="C367" s="417"/>
      <c r="D367" s="417"/>
      <c r="E367" s="417"/>
      <c r="F367" s="417"/>
      <c r="G367" s="417"/>
      <c r="H367" s="417"/>
      <c r="I367" s="417"/>
      <c r="J367" s="417"/>
      <c r="K367" s="417"/>
      <c r="L367" s="417"/>
      <c r="M367" s="417"/>
      <c r="N367" s="417"/>
      <c r="O367" s="417"/>
      <c r="P367" s="417"/>
      <c r="Q367" s="417"/>
      <c r="R367" s="417"/>
      <c r="S367" s="417"/>
      <c r="T367" s="417"/>
      <c r="U367" s="417"/>
      <c r="V367" s="417"/>
      <c r="W367" s="417"/>
      <c r="X367" s="417"/>
      <c r="Y367" s="417"/>
      <c r="Z367" s="417"/>
    </row>
    <row r="368" spans="1:26" ht="15.75">
      <c r="A368" s="417"/>
      <c r="B368" s="417"/>
      <c r="C368" s="417"/>
      <c r="D368" s="417"/>
      <c r="E368" s="417"/>
      <c r="F368" s="417"/>
      <c r="G368" s="417"/>
      <c r="H368" s="417"/>
      <c r="I368" s="417"/>
      <c r="J368" s="417"/>
      <c r="K368" s="417"/>
      <c r="L368" s="417"/>
      <c r="M368" s="417"/>
      <c r="N368" s="417"/>
      <c r="O368" s="417"/>
      <c r="P368" s="417"/>
      <c r="Q368" s="417"/>
      <c r="R368" s="417"/>
      <c r="S368" s="417"/>
      <c r="T368" s="417"/>
      <c r="U368" s="417"/>
      <c r="V368" s="417"/>
      <c r="W368" s="417"/>
      <c r="X368" s="417"/>
      <c r="Y368" s="417"/>
      <c r="Z368" s="417"/>
    </row>
    <row r="369" spans="1:26" ht="15.75">
      <c r="A369" s="417"/>
      <c r="B369" s="417"/>
      <c r="C369" s="417"/>
      <c r="D369" s="417"/>
      <c r="E369" s="417"/>
      <c r="F369" s="417"/>
      <c r="G369" s="417"/>
      <c r="H369" s="417"/>
      <c r="I369" s="417"/>
      <c r="J369" s="417"/>
      <c r="K369" s="417"/>
      <c r="L369" s="417"/>
      <c r="M369" s="417"/>
      <c r="N369" s="417"/>
      <c r="O369" s="417"/>
      <c r="P369" s="417"/>
      <c r="Q369" s="417"/>
      <c r="R369" s="417"/>
      <c r="S369" s="417"/>
      <c r="T369" s="417"/>
      <c r="U369" s="417"/>
      <c r="V369" s="417"/>
      <c r="W369" s="417"/>
      <c r="X369" s="417"/>
      <c r="Y369" s="417"/>
      <c r="Z369" s="417"/>
    </row>
    <row r="370" spans="1:26" ht="15.75">
      <c r="A370" s="417"/>
      <c r="B370" s="417"/>
      <c r="C370" s="417"/>
      <c r="D370" s="417"/>
      <c r="E370" s="417"/>
      <c r="F370" s="417"/>
      <c r="G370" s="417"/>
      <c r="H370" s="417"/>
      <c r="I370" s="417"/>
      <c r="J370" s="417"/>
      <c r="K370" s="417"/>
      <c r="L370" s="417"/>
      <c r="M370" s="417"/>
      <c r="N370" s="417"/>
      <c r="O370" s="417"/>
      <c r="P370" s="417"/>
      <c r="Q370" s="417"/>
      <c r="R370" s="417"/>
      <c r="S370" s="417"/>
      <c r="T370" s="417"/>
      <c r="U370" s="417"/>
      <c r="V370" s="417"/>
      <c r="W370" s="417"/>
      <c r="X370" s="417"/>
      <c r="Y370" s="417"/>
      <c r="Z370" s="417"/>
    </row>
    <row r="371" spans="1:26" ht="15.75">
      <c r="A371" s="417"/>
      <c r="B371" s="417"/>
      <c r="C371" s="417"/>
      <c r="D371" s="417"/>
      <c r="E371" s="417"/>
      <c r="F371" s="417"/>
      <c r="G371" s="417"/>
      <c r="H371" s="417"/>
      <c r="I371" s="417"/>
      <c r="J371" s="417"/>
      <c r="K371" s="417"/>
      <c r="L371" s="417"/>
      <c r="M371" s="417"/>
      <c r="N371" s="417"/>
      <c r="O371" s="417"/>
      <c r="P371" s="417"/>
      <c r="Q371" s="417"/>
      <c r="R371" s="417"/>
      <c r="S371" s="417"/>
      <c r="T371" s="417"/>
      <c r="U371" s="417"/>
      <c r="V371" s="417"/>
      <c r="W371" s="417"/>
      <c r="X371" s="417"/>
      <c r="Y371" s="417"/>
      <c r="Z371" s="417"/>
    </row>
    <row r="372" spans="1:26" ht="15.75">
      <c r="A372" s="417"/>
      <c r="B372" s="417"/>
      <c r="C372" s="417"/>
      <c r="D372" s="417"/>
      <c r="E372" s="417"/>
      <c r="F372" s="417"/>
      <c r="G372" s="417"/>
      <c r="H372" s="417"/>
      <c r="I372" s="417"/>
      <c r="J372" s="417"/>
      <c r="K372" s="417"/>
      <c r="L372" s="417"/>
      <c r="M372" s="417"/>
      <c r="N372" s="417"/>
      <c r="O372" s="417"/>
      <c r="P372" s="417"/>
      <c r="Q372" s="417"/>
      <c r="R372" s="417"/>
      <c r="S372" s="417"/>
      <c r="T372" s="417"/>
      <c r="U372" s="417"/>
      <c r="V372" s="417"/>
      <c r="W372" s="417"/>
      <c r="X372" s="417"/>
      <c r="Y372" s="417"/>
      <c r="Z372" s="417"/>
    </row>
    <row r="373" spans="1:26" ht="15.75">
      <c r="A373" s="417"/>
      <c r="B373" s="417"/>
      <c r="C373" s="417"/>
      <c r="D373" s="417"/>
      <c r="E373" s="417"/>
      <c r="F373" s="417"/>
      <c r="G373" s="417"/>
      <c r="H373" s="417"/>
      <c r="I373" s="417"/>
      <c r="J373" s="417"/>
      <c r="K373" s="417"/>
      <c r="L373" s="417"/>
      <c r="M373" s="417"/>
      <c r="N373" s="417"/>
      <c r="O373" s="417"/>
      <c r="P373" s="417"/>
      <c r="Q373" s="417"/>
      <c r="R373" s="417"/>
      <c r="S373" s="417"/>
      <c r="T373" s="417"/>
      <c r="U373" s="417"/>
      <c r="V373" s="417"/>
      <c r="W373" s="417"/>
      <c r="X373" s="417"/>
      <c r="Y373" s="417"/>
      <c r="Z373" s="417"/>
    </row>
    <row r="374" spans="1:26" ht="15.75">
      <c r="A374" s="417"/>
      <c r="B374" s="417"/>
      <c r="C374" s="417"/>
      <c r="D374" s="417"/>
      <c r="E374" s="417"/>
      <c r="F374" s="417"/>
      <c r="G374" s="417"/>
      <c r="H374" s="417"/>
      <c r="I374" s="417"/>
      <c r="J374" s="417"/>
      <c r="K374" s="417"/>
      <c r="L374" s="417"/>
      <c r="M374" s="417"/>
      <c r="N374" s="417"/>
      <c r="O374" s="417"/>
      <c r="P374" s="417"/>
      <c r="Q374" s="417"/>
      <c r="R374" s="417"/>
      <c r="S374" s="417"/>
      <c r="T374" s="417"/>
      <c r="U374" s="417"/>
      <c r="V374" s="417"/>
      <c r="W374" s="417"/>
      <c r="X374" s="417"/>
      <c r="Y374" s="417"/>
      <c r="Z374" s="417"/>
    </row>
    <row r="375" spans="1:26" ht="15.75">
      <c r="A375" s="417"/>
      <c r="B375" s="417"/>
      <c r="C375" s="417"/>
      <c r="D375" s="417"/>
      <c r="E375" s="417"/>
      <c r="F375" s="417"/>
      <c r="G375" s="417"/>
      <c r="H375" s="417"/>
      <c r="I375" s="417"/>
      <c r="J375" s="417"/>
      <c r="K375" s="417"/>
      <c r="L375" s="417"/>
      <c r="M375" s="417"/>
      <c r="N375" s="417"/>
      <c r="O375" s="417"/>
      <c r="P375" s="417"/>
      <c r="Q375" s="417"/>
      <c r="R375" s="417"/>
      <c r="S375" s="417"/>
      <c r="T375" s="417"/>
      <c r="U375" s="417"/>
      <c r="V375" s="417"/>
      <c r="W375" s="417"/>
      <c r="X375" s="417"/>
      <c r="Y375" s="417"/>
      <c r="Z375" s="417"/>
    </row>
    <row r="376" spans="1:26" ht="15.75">
      <c r="A376" s="417"/>
      <c r="B376" s="417"/>
      <c r="C376" s="417"/>
      <c r="D376" s="417"/>
      <c r="E376" s="417"/>
      <c r="F376" s="417"/>
      <c r="G376" s="417"/>
      <c r="H376" s="417"/>
      <c r="I376" s="417"/>
      <c r="J376" s="417"/>
      <c r="K376" s="417"/>
      <c r="L376" s="417"/>
      <c r="M376" s="417"/>
      <c r="N376" s="417"/>
      <c r="O376" s="417"/>
      <c r="P376" s="417"/>
      <c r="Q376" s="417"/>
      <c r="R376" s="417"/>
      <c r="S376" s="417"/>
      <c r="T376" s="417"/>
      <c r="U376" s="417"/>
      <c r="V376" s="417"/>
      <c r="W376" s="417"/>
      <c r="X376" s="417"/>
      <c r="Y376" s="417"/>
      <c r="Z376" s="417"/>
    </row>
    <row r="377" spans="1:26" ht="15.75">
      <c r="A377" s="417"/>
      <c r="B377" s="417"/>
      <c r="C377" s="417"/>
      <c r="D377" s="417"/>
      <c r="E377" s="417"/>
      <c r="F377" s="417"/>
      <c r="G377" s="417"/>
      <c r="H377" s="417"/>
      <c r="I377" s="417"/>
      <c r="J377" s="417"/>
      <c r="K377" s="417"/>
      <c r="L377" s="417"/>
      <c r="M377" s="417"/>
      <c r="N377" s="417"/>
      <c r="O377" s="417"/>
      <c r="P377" s="417"/>
      <c r="Q377" s="417"/>
      <c r="R377" s="417"/>
      <c r="S377" s="417"/>
      <c r="T377" s="417"/>
      <c r="U377" s="417"/>
      <c r="V377" s="417"/>
      <c r="W377" s="417"/>
      <c r="X377" s="417"/>
      <c r="Y377" s="417"/>
      <c r="Z377" s="417"/>
    </row>
    <row r="378" spans="1:26" ht="15.75">
      <c r="A378" s="417"/>
      <c r="B378" s="417"/>
      <c r="C378" s="417"/>
      <c r="D378" s="417"/>
      <c r="E378" s="417"/>
      <c r="F378" s="417"/>
      <c r="G378" s="417"/>
      <c r="H378" s="417"/>
      <c r="I378" s="417"/>
      <c r="J378" s="417"/>
      <c r="K378" s="417"/>
      <c r="L378" s="417"/>
      <c r="M378" s="417"/>
      <c r="N378" s="417"/>
      <c r="O378" s="417"/>
      <c r="P378" s="417"/>
      <c r="Q378" s="417"/>
      <c r="R378" s="417"/>
      <c r="S378" s="417"/>
      <c r="T378" s="417"/>
      <c r="U378" s="417"/>
      <c r="V378" s="417"/>
      <c r="W378" s="417"/>
      <c r="X378" s="417"/>
      <c r="Y378" s="417"/>
      <c r="Z378" s="417"/>
    </row>
    <row r="379" spans="1:26" ht="15.75">
      <c r="A379" s="417"/>
      <c r="B379" s="417"/>
      <c r="C379" s="417"/>
      <c r="D379" s="417"/>
      <c r="E379" s="417"/>
      <c r="F379" s="417"/>
      <c r="G379" s="417"/>
      <c r="H379" s="417"/>
      <c r="I379" s="417"/>
      <c r="J379" s="417"/>
      <c r="K379" s="417"/>
      <c r="L379" s="417"/>
      <c r="M379" s="417"/>
      <c r="N379" s="417"/>
      <c r="O379" s="417"/>
      <c r="P379" s="417"/>
      <c r="Q379" s="417"/>
      <c r="R379" s="417"/>
      <c r="S379" s="417"/>
      <c r="T379" s="417"/>
      <c r="U379" s="417"/>
      <c r="V379" s="417"/>
      <c r="W379" s="417"/>
      <c r="X379" s="417"/>
      <c r="Y379" s="417"/>
      <c r="Z379" s="417"/>
    </row>
    <row r="380" spans="1:26" ht="15.75">
      <c r="A380" s="417"/>
      <c r="B380" s="417"/>
      <c r="C380" s="417"/>
      <c r="D380" s="417"/>
      <c r="E380" s="417"/>
      <c r="F380" s="417"/>
      <c r="G380" s="417"/>
      <c r="H380" s="417"/>
      <c r="I380" s="417"/>
      <c r="J380" s="417"/>
      <c r="K380" s="417"/>
      <c r="L380" s="417"/>
      <c r="M380" s="417"/>
      <c r="N380" s="417"/>
      <c r="O380" s="417"/>
      <c r="P380" s="417"/>
      <c r="Q380" s="417"/>
      <c r="R380" s="417"/>
      <c r="S380" s="417"/>
      <c r="T380" s="417"/>
      <c r="U380" s="417"/>
      <c r="V380" s="417"/>
      <c r="W380" s="417"/>
      <c r="X380" s="417"/>
      <c r="Y380" s="417"/>
      <c r="Z380" s="417"/>
    </row>
    <row r="381" spans="1:26" ht="15.75">
      <c r="A381" s="417"/>
      <c r="B381" s="417"/>
      <c r="C381" s="417"/>
      <c r="D381" s="417"/>
      <c r="E381" s="417"/>
      <c r="F381" s="417"/>
      <c r="G381" s="417"/>
      <c r="H381" s="417"/>
      <c r="I381" s="417"/>
      <c r="J381" s="417"/>
      <c r="K381" s="417"/>
      <c r="L381" s="417"/>
      <c r="M381" s="417"/>
      <c r="N381" s="417"/>
      <c r="O381" s="417"/>
      <c r="P381" s="417"/>
      <c r="Q381" s="417"/>
      <c r="R381" s="417"/>
      <c r="S381" s="417"/>
      <c r="T381" s="417"/>
      <c r="U381" s="417"/>
      <c r="V381" s="417"/>
      <c r="W381" s="417"/>
      <c r="X381" s="417"/>
      <c r="Y381" s="417"/>
      <c r="Z381" s="417"/>
    </row>
    <row r="382" spans="1:26" ht="15.75">
      <c r="A382" s="417"/>
      <c r="B382" s="417"/>
      <c r="C382" s="417"/>
      <c r="D382" s="417"/>
      <c r="E382" s="417"/>
      <c r="F382" s="417"/>
      <c r="G382" s="417"/>
      <c r="H382" s="417"/>
      <c r="I382" s="417"/>
      <c r="J382" s="417"/>
      <c r="K382" s="417"/>
      <c r="L382" s="417"/>
      <c r="M382" s="417"/>
      <c r="N382" s="417"/>
      <c r="O382" s="417"/>
      <c r="P382" s="417"/>
      <c r="Q382" s="417"/>
      <c r="R382" s="417"/>
      <c r="S382" s="417"/>
      <c r="T382" s="417"/>
      <c r="U382" s="417"/>
      <c r="V382" s="417"/>
      <c r="W382" s="417"/>
      <c r="X382" s="417"/>
      <c r="Y382" s="417"/>
      <c r="Z382" s="417"/>
    </row>
    <row r="383" spans="1:26" ht="15.75">
      <c r="A383" s="417"/>
      <c r="B383" s="417"/>
      <c r="C383" s="417"/>
      <c r="D383" s="417"/>
      <c r="E383" s="417"/>
      <c r="F383" s="417"/>
      <c r="G383" s="417"/>
      <c r="H383" s="417"/>
      <c r="I383" s="417"/>
      <c r="J383" s="417"/>
      <c r="K383" s="417"/>
      <c r="L383" s="417"/>
      <c r="M383" s="417"/>
      <c r="N383" s="417"/>
      <c r="O383" s="417"/>
      <c r="P383" s="417"/>
      <c r="Q383" s="417"/>
      <c r="R383" s="417"/>
      <c r="S383" s="417"/>
      <c r="T383" s="417"/>
      <c r="U383" s="417"/>
      <c r="V383" s="417"/>
      <c r="W383" s="417"/>
      <c r="X383" s="417"/>
      <c r="Y383" s="417"/>
      <c r="Z383" s="417"/>
    </row>
    <row r="384" spans="1:26" ht="15.75">
      <c r="A384" s="417"/>
      <c r="B384" s="417"/>
      <c r="C384" s="417"/>
      <c r="D384" s="417"/>
      <c r="E384" s="417"/>
      <c r="F384" s="417"/>
      <c r="G384" s="417"/>
      <c r="H384" s="417"/>
      <c r="I384" s="417"/>
      <c r="J384" s="417"/>
      <c r="K384" s="417"/>
      <c r="L384" s="417"/>
      <c r="M384" s="417"/>
      <c r="N384" s="417"/>
      <c r="O384" s="417"/>
      <c r="P384" s="417"/>
      <c r="Q384" s="417"/>
      <c r="R384" s="417"/>
      <c r="S384" s="417"/>
      <c r="T384" s="417"/>
      <c r="U384" s="417"/>
      <c r="V384" s="417"/>
      <c r="W384" s="417"/>
      <c r="X384" s="417"/>
      <c r="Y384" s="417"/>
      <c r="Z384" s="417"/>
    </row>
    <row r="385" spans="1:26" ht="15.75">
      <c r="A385" s="417"/>
      <c r="B385" s="417"/>
      <c r="C385" s="417"/>
      <c r="D385" s="417"/>
      <c r="E385" s="417"/>
      <c r="F385" s="417"/>
      <c r="G385" s="417"/>
      <c r="H385" s="417"/>
      <c r="I385" s="417"/>
      <c r="J385" s="417"/>
      <c r="K385" s="417"/>
      <c r="L385" s="417"/>
      <c r="M385" s="417"/>
      <c r="N385" s="417"/>
      <c r="O385" s="417"/>
      <c r="P385" s="417"/>
      <c r="Q385" s="417"/>
      <c r="R385" s="417"/>
      <c r="S385" s="417"/>
      <c r="T385" s="417"/>
      <c r="U385" s="417"/>
      <c r="V385" s="417"/>
      <c r="W385" s="417"/>
      <c r="X385" s="417"/>
      <c r="Y385" s="417"/>
      <c r="Z385" s="417"/>
    </row>
    <row r="386" spans="1:26" ht="15.75">
      <c r="A386" s="417"/>
      <c r="B386" s="417"/>
      <c r="C386" s="417"/>
      <c r="D386" s="417"/>
      <c r="E386" s="417"/>
      <c r="F386" s="417"/>
      <c r="G386" s="417"/>
      <c r="H386" s="417"/>
      <c r="I386" s="417"/>
      <c r="J386" s="417"/>
      <c r="K386" s="417"/>
      <c r="L386" s="417"/>
      <c r="M386" s="417"/>
      <c r="N386" s="417"/>
      <c r="O386" s="417"/>
      <c r="P386" s="417"/>
      <c r="Q386" s="417"/>
      <c r="R386" s="417"/>
      <c r="S386" s="417"/>
      <c r="T386" s="417"/>
      <c r="U386" s="417"/>
      <c r="V386" s="417"/>
      <c r="W386" s="417"/>
      <c r="X386" s="417"/>
      <c r="Y386" s="417"/>
      <c r="Z386" s="417"/>
    </row>
    <row r="387" spans="1:26" ht="15.75">
      <c r="A387" s="417"/>
      <c r="B387" s="417"/>
      <c r="C387" s="417"/>
      <c r="D387" s="417"/>
      <c r="E387" s="417"/>
      <c r="F387" s="417"/>
      <c r="G387" s="417"/>
      <c r="H387" s="417"/>
      <c r="I387" s="417"/>
      <c r="J387" s="417"/>
      <c r="K387" s="417"/>
      <c r="L387" s="417"/>
      <c r="M387" s="417"/>
      <c r="N387" s="417"/>
      <c r="O387" s="417"/>
      <c r="P387" s="417"/>
      <c r="Q387" s="417"/>
      <c r="R387" s="417"/>
      <c r="S387" s="417"/>
      <c r="T387" s="417"/>
      <c r="U387" s="417"/>
      <c r="V387" s="417"/>
      <c r="W387" s="417"/>
      <c r="X387" s="417"/>
      <c r="Y387" s="417"/>
      <c r="Z387" s="417"/>
    </row>
    <row r="388" spans="1:26" ht="15.75">
      <c r="A388" s="417"/>
      <c r="B388" s="417"/>
      <c r="C388" s="417"/>
      <c r="D388" s="417"/>
      <c r="E388" s="417"/>
      <c r="F388" s="417"/>
      <c r="G388" s="417"/>
      <c r="H388" s="417"/>
      <c r="I388" s="417"/>
      <c r="J388" s="417"/>
      <c r="K388" s="417"/>
      <c r="L388" s="417"/>
      <c r="M388" s="417"/>
      <c r="N388" s="417"/>
      <c r="O388" s="417"/>
      <c r="P388" s="417"/>
      <c r="Q388" s="417"/>
      <c r="R388" s="417"/>
      <c r="S388" s="417"/>
      <c r="T388" s="417"/>
      <c r="U388" s="417"/>
      <c r="V388" s="417"/>
      <c r="W388" s="417"/>
      <c r="X388" s="417"/>
      <c r="Y388" s="417"/>
      <c r="Z388" s="417"/>
    </row>
    <row r="389" spans="1:26" ht="15.75">
      <c r="A389" s="417"/>
      <c r="B389" s="417"/>
      <c r="C389" s="417"/>
      <c r="D389" s="417"/>
      <c r="E389" s="417"/>
      <c r="F389" s="417"/>
      <c r="G389" s="417"/>
      <c r="H389" s="417"/>
      <c r="I389" s="417"/>
      <c r="J389" s="417"/>
      <c r="K389" s="417"/>
      <c r="L389" s="417"/>
      <c r="M389" s="417"/>
      <c r="N389" s="417"/>
      <c r="O389" s="417"/>
      <c r="P389" s="417"/>
      <c r="Q389" s="417"/>
      <c r="R389" s="417"/>
      <c r="S389" s="417"/>
      <c r="T389" s="417"/>
      <c r="U389" s="417"/>
      <c r="V389" s="417"/>
      <c r="W389" s="417"/>
      <c r="X389" s="417"/>
      <c r="Y389" s="417"/>
      <c r="Z389" s="417"/>
    </row>
    <row r="390" spans="1:26" ht="15.75">
      <c r="A390" s="417"/>
      <c r="B390" s="417"/>
      <c r="C390" s="417"/>
      <c r="D390" s="417"/>
      <c r="E390" s="417"/>
      <c r="F390" s="417"/>
      <c r="G390" s="417"/>
      <c r="H390" s="417"/>
      <c r="I390" s="417"/>
      <c r="J390" s="417"/>
      <c r="K390" s="417"/>
      <c r="L390" s="417"/>
      <c r="M390" s="417"/>
      <c r="N390" s="417"/>
      <c r="O390" s="417"/>
      <c r="P390" s="417"/>
      <c r="Q390" s="417"/>
      <c r="R390" s="417"/>
      <c r="S390" s="417"/>
      <c r="T390" s="417"/>
      <c r="U390" s="417"/>
      <c r="V390" s="417"/>
      <c r="W390" s="417"/>
      <c r="X390" s="417"/>
      <c r="Y390" s="417"/>
      <c r="Z390" s="417"/>
    </row>
    <row r="391" spans="1:26" ht="15.75">
      <c r="A391" s="417"/>
      <c r="B391" s="417"/>
      <c r="C391" s="417"/>
      <c r="D391" s="417"/>
      <c r="E391" s="417"/>
      <c r="F391" s="417"/>
      <c r="G391" s="417"/>
      <c r="H391" s="417"/>
      <c r="I391" s="417"/>
      <c r="J391" s="417"/>
      <c r="K391" s="417"/>
      <c r="L391" s="417"/>
      <c r="M391" s="417"/>
      <c r="N391" s="417"/>
      <c r="O391" s="417"/>
      <c r="P391" s="417"/>
      <c r="Q391" s="417"/>
      <c r="R391" s="417"/>
      <c r="S391" s="417"/>
      <c r="T391" s="417"/>
      <c r="U391" s="417"/>
      <c r="V391" s="417"/>
      <c r="W391" s="417"/>
      <c r="X391" s="417"/>
      <c r="Y391" s="417"/>
      <c r="Z391" s="417"/>
    </row>
    <row r="392" spans="1:26" ht="15.75">
      <c r="A392" s="417"/>
      <c r="B392" s="417"/>
      <c r="C392" s="417"/>
      <c r="D392" s="417"/>
      <c r="E392" s="417"/>
      <c r="F392" s="417"/>
      <c r="G392" s="417"/>
      <c r="H392" s="417"/>
      <c r="I392" s="417"/>
      <c r="J392" s="417"/>
      <c r="K392" s="417"/>
      <c r="L392" s="417"/>
      <c r="M392" s="417"/>
      <c r="N392" s="417"/>
      <c r="O392" s="417"/>
      <c r="P392" s="417"/>
      <c r="Q392" s="417"/>
      <c r="R392" s="417"/>
      <c r="S392" s="417"/>
      <c r="T392" s="417"/>
      <c r="U392" s="417"/>
      <c r="V392" s="417"/>
      <c r="W392" s="417"/>
      <c r="X392" s="417"/>
      <c r="Y392" s="417"/>
      <c r="Z392" s="417"/>
    </row>
    <row r="393" spans="1:26" ht="15.75">
      <c r="A393" s="417"/>
      <c r="B393" s="417"/>
      <c r="C393" s="417"/>
      <c r="D393" s="417"/>
      <c r="E393" s="417"/>
      <c r="F393" s="417"/>
      <c r="G393" s="417"/>
      <c r="H393" s="417"/>
      <c r="I393" s="417"/>
      <c r="J393" s="417"/>
      <c r="K393" s="417"/>
      <c r="L393" s="417"/>
      <c r="M393" s="417"/>
      <c r="N393" s="417"/>
      <c r="O393" s="417"/>
      <c r="P393" s="417"/>
      <c r="Q393" s="417"/>
      <c r="R393" s="417"/>
      <c r="S393" s="417"/>
      <c r="T393" s="417"/>
      <c r="U393" s="417"/>
      <c r="V393" s="417"/>
      <c r="W393" s="417"/>
      <c r="X393" s="417"/>
      <c r="Y393" s="417"/>
      <c r="Z393" s="417"/>
    </row>
    <row r="394" spans="1:26" ht="15.75">
      <c r="A394" s="417"/>
      <c r="B394" s="417"/>
      <c r="C394" s="417"/>
      <c r="D394" s="417"/>
      <c r="E394" s="417"/>
      <c r="F394" s="417"/>
      <c r="G394" s="417"/>
      <c r="H394" s="417"/>
      <c r="I394" s="417"/>
      <c r="J394" s="417"/>
      <c r="K394" s="417"/>
      <c r="L394" s="417"/>
      <c r="M394" s="417"/>
      <c r="N394" s="417"/>
      <c r="O394" s="417"/>
      <c r="P394" s="417"/>
      <c r="Q394" s="417"/>
      <c r="R394" s="417"/>
      <c r="S394" s="417"/>
      <c r="T394" s="417"/>
      <c r="U394" s="417"/>
      <c r="V394" s="417"/>
      <c r="W394" s="417"/>
      <c r="X394" s="417"/>
      <c r="Y394" s="417"/>
      <c r="Z394" s="417"/>
    </row>
    <row r="395" spans="1:26" ht="15.75">
      <c r="A395" s="417"/>
      <c r="B395" s="417"/>
      <c r="C395" s="417"/>
      <c r="D395" s="417"/>
      <c r="E395" s="417"/>
      <c r="F395" s="417"/>
      <c r="G395" s="417"/>
      <c r="H395" s="417"/>
      <c r="I395" s="417"/>
      <c r="J395" s="417"/>
      <c r="K395" s="417"/>
      <c r="L395" s="417"/>
      <c r="M395" s="417"/>
      <c r="N395" s="417"/>
      <c r="O395" s="417"/>
      <c r="P395" s="417"/>
      <c r="Q395" s="417"/>
      <c r="R395" s="417"/>
      <c r="S395" s="417"/>
      <c r="T395" s="417"/>
      <c r="U395" s="417"/>
      <c r="V395" s="417"/>
      <c r="W395" s="417"/>
      <c r="X395" s="417"/>
      <c r="Y395" s="417"/>
      <c r="Z395" s="417"/>
    </row>
    <row r="396" spans="1:26" ht="15.75">
      <c r="A396" s="417"/>
      <c r="B396" s="417"/>
      <c r="C396" s="417"/>
      <c r="D396" s="417"/>
      <c r="E396" s="417"/>
      <c r="F396" s="417"/>
      <c r="G396" s="417"/>
      <c r="H396" s="417"/>
      <c r="I396" s="417"/>
      <c r="J396" s="417"/>
      <c r="K396" s="417"/>
      <c r="L396" s="417"/>
      <c r="M396" s="417"/>
      <c r="N396" s="417"/>
      <c r="O396" s="417"/>
      <c r="P396" s="417"/>
      <c r="Q396" s="417"/>
      <c r="R396" s="417"/>
      <c r="S396" s="417"/>
      <c r="T396" s="417"/>
      <c r="U396" s="417"/>
      <c r="V396" s="417"/>
      <c r="W396" s="417"/>
      <c r="X396" s="417"/>
      <c r="Y396" s="417"/>
      <c r="Z396" s="417"/>
    </row>
    <row r="397" spans="1:26" ht="15.75">
      <c r="A397" s="417"/>
      <c r="B397" s="417"/>
      <c r="C397" s="417"/>
      <c r="D397" s="417"/>
      <c r="E397" s="417"/>
      <c r="F397" s="417"/>
      <c r="G397" s="417"/>
      <c r="H397" s="417"/>
      <c r="I397" s="417"/>
      <c r="J397" s="417"/>
      <c r="K397" s="417"/>
      <c r="L397" s="417"/>
      <c r="M397" s="417"/>
      <c r="N397" s="417"/>
      <c r="O397" s="417"/>
      <c r="P397" s="417"/>
      <c r="Q397" s="417"/>
      <c r="R397" s="417"/>
      <c r="S397" s="417"/>
      <c r="T397" s="417"/>
      <c r="U397" s="417"/>
      <c r="V397" s="417"/>
      <c r="W397" s="417"/>
      <c r="X397" s="417"/>
      <c r="Y397" s="417"/>
      <c r="Z397" s="417"/>
    </row>
    <row r="398" spans="1:26" ht="15.75">
      <c r="A398" s="417"/>
      <c r="B398" s="417"/>
      <c r="C398" s="417"/>
      <c r="D398" s="417"/>
      <c r="E398" s="417"/>
      <c r="F398" s="417"/>
      <c r="G398" s="417"/>
      <c r="H398" s="417"/>
      <c r="I398" s="417"/>
      <c r="J398" s="417"/>
      <c r="K398" s="417"/>
      <c r="L398" s="417"/>
      <c r="M398" s="417"/>
      <c r="N398" s="417"/>
      <c r="O398" s="417"/>
      <c r="P398" s="417"/>
      <c r="Q398" s="417"/>
      <c r="R398" s="417"/>
      <c r="S398" s="417"/>
      <c r="T398" s="417"/>
      <c r="U398" s="417"/>
      <c r="V398" s="417"/>
      <c r="W398" s="417"/>
      <c r="X398" s="417"/>
      <c r="Y398" s="417"/>
      <c r="Z398" s="417"/>
    </row>
    <row r="399" spans="1:26" ht="15.75">
      <c r="A399" s="417"/>
      <c r="B399" s="417"/>
      <c r="C399" s="417"/>
      <c r="D399" s="417"/>
      <c r="E399" s="417"/>
      <c r="F399" s="417"/>
      <c r="G399" s="417"/>
      <c r="H399" s="417"/>
      <c r="I399" s="417"/>
      <c r="J399" s="417"/>
      <c r="K399" s="417"/>
      <c r="L399" s="417"/>
      <c r="M399" s="417"/>
      <c r="N399" s="417"/>
      <c r="O399" s="417"/>
      <c r="P399" s="417"/>
      <c r="Q399" s="417"/>
      <c r="R399" s="417"/>
      <c r="S399" s="417"/>
      <c r="T399" s="417"/>
      <c r="U399" s="417"/>
      <c r="V399" s="417"/>
      <c r="W399" s="417"/>
      <c r="X399" s="417"/>
      <c r="Y399" s="417"/>
      <c r="Z399" s="417"/>
    </row>
    <row r="400" spans="1:26" ht="15.75">
      <c r="A400" s="417"/>
      <c r="B400" s="417"/>
      <c r="C400" s="417"/>
      <c r="D400" s="417"/>
      <c r="E400" s="417"/>
      <c r="F400" s="417"/>
      <c r="G400" s="417"/>
      <c r="H400" s="417"/>
      <c r="I400" s="417"/>
      <c r="J400" s="417"/>
      <c r="K400" s="417"/>
      <c r="L400" s="417"/>
      <c r="M400" s="417"/>
      <c r="N400" s="417"/>
      <c r="O400" s="417"/>
      <c r="P400" s="417"/>
      <c r="Q400" s="417"/>
      <c r="R400" s="417"/>
      <c r="S400" s="417"/>
      <c r="T400" s="417"/>
      <c r="U400" s="417"/>
      <c r="V400" s="417"/>
      <c r="W400" s="417"/>
      <c r="X400" s="417"/>
      <c r="Y400" s="417"/>
      <c r="Z400" s="417"/>
    </row>
    <row r="401" spans="1:26" ht="15.75">
      <c r="A401" s="417"/>
      <c r="B401" s="417"/>
      <c r="C401" s="417"/>
      <c r="D401" s="417"/>
      <c r="E401" s="417"/>
      <c r="F401" s="417"/>
      <c r="G401" s="417"/>
      <c r="H401" s="417"/>
      <c r="I401" s="417"/>
      <c r="J401" s="417"/>
      <c r="K401" s="417"/>
      <c r="L401" s="417"/>
      <c r="M401" s="417"/>
      <c r="N401" s="417"/>
      <c r="O401" s="417"/>
      <c r="P401" s="417"/>
      <c r="Q401" s="417"/>
      <c r="R401" s="417"/>
      <c r="S401" s="417"/>
      <c r="T401" s="417"/>
      <c r="U401" s="417"/>
      <c r="V401" s="417"/>
      <c r="W401" s="417"/>
      <c r="X401" s="417"/>
      <c r="Y401" s="417"/>
      <c r="Z401" s="417"/>
    </row>
    <row r="402" spans="1:26" ht="15.75">
      <c r="A402" s="417"/>
      <c r="B402" s="417"/>
      <c r="C402" s="417"/>
      <c r="D402" s="417"/>
      <c r="E402" s="417"/>
      <c r="F402" s="417"/>
      <c r="G402" s="417"/>
      <c r="H402" s="417"/>
      <c r="I402" s="417"/>
      <c r="J402" s="417"/>
      <c r="K402" s="417"/>
      <c r="L402" s="417"/>
      <c r="M402" s="417"/>
      <c r="N402" s="417"/>
      <c r="O402" s="417"/>
      <c r="P402" s="417"/>
      <c r="Q402" s="417"/>
      <c r="R402" s="417"/>
      <c r="S402" s="417"/>
      <c r="T402" s="417"/>
      <c r="U402" s="417"/>
      <c r="V402" s="417"/>
      <c r="W402" s="417"/>
      <c r="X402" s="417"/>
      <c r="Y402" s="417"/>
      <c r="Z402" s="417"/>
    </row>
    <row r="403" spans="1:26" ht="15.75">
      <c r="A403" s="417"/>
      <c r="B403" s="417"/>
      <c r="C403" s="417"/>
      <c r="D403" s="417"/>
      <c r="E403" s="417"/>
      <c r="F403" s="417"/>
      <c r="G403" s="417"/>
      <c r="H403" s="417"/>
      <c r="I403" s="417"/>
      <c r="J403" s="417"/>
      <c r="K403" s="417"/>
      <c r="L403" s="417"/>
      <c r="M403" s="417"/>
      <c r="N403" s="417"/>
      <c r="O403" s="417"/>
      <c r="P403" s="417"/>
      <c r="Q403" s="417"/>
      <c r="R403" s="417"/>
      <c r="S403" s="417"/>
      <c r="T403" s="417"/>
      <c r="U403" s="417"/>
      <c r="V403" s="417"/>
      <c r="W403" s="417"/>
      <c r="X403" s="417"/>
      <c r="Y403" s="417"/>
      <c r="Z403" s="417"/>
    </row>
    <row r="404" spans="1:26" ht="15.75">
      <c r="A404" s="417"/>
      <c r="B404" s="417"/>
      <c r="C404" s="417"/>
      <c r="D404" s="417"/>
      <c r="E404" s="417"/>
      <c r="F404" s="417"/>
      <c r="G404" s="417"/>
      <c r="H404" s="417"/>
      <c r="I404" s="417"/>
      <c r="J404" s="417"/>
      <c r="K404" s="417"/>
      <c r="L404" s="417"/>
      <c r="M404" s="417"/>
      <c r="N404" s="417"/>
      <c r="O404" s="417"/>
      <c r="P404" s="417"/>
      <c r="Q404" s="417"/>
      <c r="R404" s="417"/>
      <c r="S404" s="417"/>
      <c r="T404" s="417"/>
      <c r="U404" s="417"/>
      <c r="V404" s="417"/>
      <c r="W404" s="417"/>
      <c r="X404" s="417"/>
      <c r="Y404" s="417"/>
      <c r="Z404" s="417"/>
    </row>
    <row r="405" spans="1:26" ht="15.75">
      <c r="A405" s="417"/>
      <c r="B405" s="417"/>
      <c r="C405" s="417"/>
      <c r="D405" s="417"/>
      <c r="E405" s="417"/>
      <c r="F405" s="417"/>
      <c r="G405" s="417"/>
      <c r="H405" s="417"/>
      <c r="I405" s="417"/>
      <c r="J405" s="417"/>
      <c r="K405" s="417"/>
      <c r="L405" s="417"/>
      <c r="M405" s="417"/>
      <c r="N405" s="417"/>
      <c r="O405" s="417"/>
      <c r="P405" s="417"/>
      <c r="Q405" s="417"/>
      <c r="R405" s="417"/>
      <c r="S405" s="417"/>
      <c r="T405" s="417"/>
      <c r="U405" s="417"/>
      <c r="V405" s="417"/>
      <c r="W405" s="417"/>
      <c r="X405" s="417"/>
      <c r="Y405" s="417"/>
      <c r="Z405" s="417"/>
    </row>
    <row r="406" spans="1:26" ht="15.75">
      <c r="A406" s="417"/>
      <c r="B406" s="417"/>
      <c r="C406" s="417"/>
      <c r="D406" s="417"/>
      <c r="E406" s="417"/>
      <c r="F406" s="417"/>
      <c r="G406" s="417"/>
      <c r="H406" s="417"/>
      <c r="I406" s="417"/>
      <c r="J406" s="417"/>
      <c r="K406" s="417"/>
      <c r="L406" s="417"/>
      <c r="M406" s="417"/>
      <c r="N406" s="417"/>
      <c r="O406" s="417"/>
      <c r="P406" s="417"/>
      <c r="Q406" s="417"/>
      <c r="R406" s="417"/>
      <c r="S406" s="417"/>
      <c r="T406" s="417"/>
      <c r="U406" s="417"/>
      <c r="V406" s="417"/>
      <c r="W406" s="417"/>
      <c r="X406" s="417"/>
      <c r="Y406" s="417"/>
      <c r="Z406" s="417"/>
    </row>
    <row r="407" spans="1:26" ht="15.75">
      <c r="A407" s="417"/>
      <c r="B407" s="417"/>
      <c r="C407" s="417"/>
      <c r="D407" s="417"/>
      <c r="E407" s="417"/>
      <c r="F407" s="417"/>
      <c r="G407" s="417"/>
      <c r="H407" s="417"/>
      <c r="I407" s="417"/>
      <c r="J407" s="417"/>
      <c r="K407" s="417"/>
      <c r="L407" s="417"/>
      <c r="M407" s="417"/>
      <c r="N407" s="417"/>
      <c r="O407" s="417"/>
      <c r="P407" s="417"/>
      <c r="Q407" s="417"/>
      <c r="R407" s="417"/>
      <c r="S407" s="417"/>
      <c r="T407" s="417"/>
      <c r="U407" s="417"/>
      <c r="V407" s="417"/>
      <c r="W407" s="417"/>
      <c r="X407" s="417"/>
      <c r="Y407" s="417"/>
      <c r="Z407" s="417"/>
    </row>
    <row r="408" spans="1:26" ht="15.75">
      <c r="A408" s="417"/>
      <c r="B408" s="417"/>
      <c r="C408" s="417"/>
      <c r="D408" s="417"/>
      <c r="E408" s="417"/>
      <c r="F408" s="417"/>
      <c r="G408" s="417"/>
      <c r="H408" s="417"/>
      <c r="I408" s="417"/>
      <c r="J408" s="417"/>
      <c r="K408" s="417"/>
      <c r="L408" s="417"/>
      <c r="M408" s="417"/>
      <c r="N408" s="417"/>
      <c r="O408" s="417"/>
      <c r="P408" s="417"/>
      <c r="Q408" s="417"/>
      <c r="R408" s="417"/>
      <c r="S408" s="417"/>
      <c r="T408" s="417"/>
      <c r="U408" s="417"/>
      <c r="V408" s="417"/>
      <c r="W408" s="417"/>
      <c r="X408" s="417"/>
      <c r="Y408" s="417"/>
      <c r="Z408" s="417"/>
    </row>
    <row r="409" spans="1:26" ht="15.75">
      <c r="A409" s="417"/>
      <c r="B409" s="417"/>
      <c r="C409" s="417"/>
      <c r="D409" s="417"/>
      <c r="E409" s="417"/>
      <c r="F409" s="417"/>
      <c r="G409" s="417"/>
      <c r="H409" s="417"/>
      <c r="I409" s="417"/>
      <c r="J409" s="417"/>
      <c r="K409" s="417"/>
      <c r="L409" s="417"/>
      <c r="M409" s="417"/>
      <c r="N409" s="417"/>
      <c r="O409" s="417"/>
      <c r="P409" s="417"/>
      <c r="Q409" s="417"/>
      <c r="R409" s="417"/>
      <c r="S409" s="417"/>
      <c r="T409" s="417"/>
      <c r="U409" s="417"/>
      <c r="V409" s="417"/>
      <c r="W409" s="417"/>
      <c r="X409" s="417"/>
      <c r="Y409" s="417"/>
      <c r="Z409" s="417"/>
    </row>
    <row r="410" spans="1:26" ht="15.75">
      <c r="A410" s="417"/>
      <c r="B410" s="417"/>
      <c r="C410" s="417"/>
      <c r="D410" s="417"/>
      <c r="E410" s="417"/>
      <c r="F410" s="417"/>
      <c r="G410" s="417"/>
      <c r="H410" s="417"/>
      <c r="I410" s="417"/>
      <c r="J410" s="417"/>
      <c r="K410" s="417"/>
      <c r="L410" s="417"/>
      <c r="M410" s="417"/>
      <c r="N410" s="417"/>
      <c r="O410" s="417"/>
      <c r="P410" s="417"/>
      <c r="Q410" s="417"/>
      <c r="R410" s="417"/>
      <c r="S410" s="417"/>
      <c r="T410" s="417"/>
      <c r="U410" s="417"/>
      <c r="V410" s="417"/>
      <c r="W410" s="417"/>
      <c r="X410" s="417"/>
      <c r="Y410" s="417"/>
      <c r="Z410" s="417"/>
    </row>
    <row r="411" spans="1:26" ht="15.75">
      <c r="A411" s="417"/>
      <c r="B411" s="417"/>
      <c r="C411" s="417"/>
      <c r="D411" s="417"/>
      <c r="E411" s="417"/>
      <c r="F411" s="417"/>
      <c r="G411" s="417"/>
      <c r="H411" s="417"/>
      <c r="I411" s="417"/>
      <c r="J411" s="417"/>
      <c r="K411" s="417"/>
      <c r="L411" s="417"/>
      <c r="M411" s="417"/>
      <c r="N411" s="417"/>
      <c r="O411" s="417"/>
      <c r="P411" s="417"/>
      <c r="Q411" s="417"/>
      <c r="R411" s="417"/>
      <c r="S411" s="417"/>
      <c r="T411" s="417"/>
      <c r="U411" s="417"/>
      <c r="V411" s="417"/>
      <c r="W411" s="417"/>
      <c r="X411" s="417"/>
      <c r="Y411" s="417"/>
      <c r="Z411" s="417"/>
    </row>
    <row r="412" spans="1:26" ht="15.75">
      <c r="A412" s="417"/>
      <c r="B412" s="417"/>
      <c r="C412" s="417"/>
      <c r="D412" s="417"/>
      <c r="E412" s="417"/>
      <c r="F412" s="417"/>
      <c r="G412" s="417"/>
      <c r="H412" s="417"/>
      <c r="I412" s="417"/>
      <c r="J412" s="417"/>
      <c r="K412" s="417"/>
      <c r="L412" s="417"/>
      <c r="M412" s="417"/>
      <c r="N412" s="417"/>
      <c r="O412" s="417"/>
      <c r="P412" s="417"/>
      <c r="Q412" s="417"/>
      <c r="R412" s="417"/>
      <c r="S412" s="417"/>
      <c r="T412" s="417"/>
      <c r="U412" s="417"/>
      <c r="V412" s="417"/>
      <c r="W412" s="417"/>
      <c r="X412" s="417"/>
      <c r="Y412" s="417"/>
      <c r="Z412" s="417"/>
    </row>
    <row r="413" spans="1:26" ht="15.75">
      <c r="A413" s="417"/>
      <c r="B413" s="417"/>
      <c r="C413" s="417"/>
      <c r="D413" s="417"/>
      <c r="E413" s="417"/>
      <c r="F413" s="417"/>
      <c r="G413" s="417"/>
      <c r="H413" s="417"/>
      <c r="I413" s="417"/>
      <c r="J413" s="417"/>
      <c r="K413" s="417"/>
      <c r="L413" s="417"/>
      <c r="M413" s="417"/>
      <c r="N413" s="417"/>
      <c r="O413" s="417"/>
      <c r="P413" s="417"/>
      <c r="Q413" s="417"/>
      <c r="R413" s="417"/>
      <c r="S413" s="417"/>
      <c r="T413" s="417"/>
      <c r="U413" s="417"/>
      <c r="V413" s="417"/>
      <c r="W413" s="417"/>
      <c r="X413" s="417"/>
      <c r="Y413" s="417"/>
      <c r="Z413" s="417"/>
    </row>
    <row r="414" spans="1:26" ht="15.75">
      <c r="A414" s="417"/>
      <c r="B414" s="417"/>
      <c r="C414" s="417"/>
      <c r="D414" s="417"/>
      <c r="E414" s="417"/>
      <c r="F414" s="417"/>
      <c r="G414" s="417"/>
      <c r="H414" s="417"/>
      <c r="I414" s="417"/>
      <c r="J414" s="417"/>
      <c r="K414" s="417"/>
      <c r="L414" s="417"/>
      <c r="M414" s="417"/>
      <c r="N414" s="417"/>
      <c r="O414" s="417"/>
      <c r="P414" s="417"/>
      <c r="Q414" s="417"/>
      <c r="R414" s="417"/>
      <c r="S414" s="417"/>
      <c r="T414" s="417"/>
      <c r="U414" s="417"/>
      <c r="V414" s="417"/>
      <c r="W414" s="417"/>
      <c r="X414" s="417"/>
      <c r="Y414" s="417"/>
      <c r="Z414" s="417"/>
    </row>
    <row r="415" spans="1:26" ht="15.75">
      <c r="A415" s="417"/>
      <c r="B415" s="417"/>
      <c r="C415" s="417"/>
      <c r="D415" s="417"/>
      <c r="E415" s="417"/>
      <c r="F415" s="417"/>
      <c r="G415" s="417"/>
      <c r="H415" s="417"/>
      <c r="I415" s="417"/>
      <c r="J415" s="417"/>
      <c r="K415" s="417"/>
      <c r="L415" s="417"/>
      <c r="M415" s="417"/>
      <c r="N415" s="417"/>
      <c r="O415" s="417"/>
      <c r="P415" s="417"/>
      <c r="Q415" s="417"/>
      <c r="R415" s="417"/>
      <c r="S415" s="417"/>
      <c r="T415" s="417"/>
      <c r="U415" s="417"/>
      <c r="V415" s="417"/>
      <c r="W415" s="417"/>
      <c r="X415" s="417"/>
      <c r="Y415" s="417"/>
      <c r="Z415" s="417"/>
    </row>
    <row r="416" spans="1:26" ht="15.75">
      <c r="A416" s="417"/>
      <c r="B416" s="417"/>
      <c r="C416" s="417"/>
      <c r="D416" s="417"/>
      <c r="E416" s="417"/>
      <c r="F416" s="417"/>
      <c r="G416" s="417"/>
      <c r="H416" s="417"/>
      <c r="I416" s="417"/>
      <c r="J416" s="417"/>
      <c r="K416" s="417"/>
      <c r="L416" s="417"/>
      <c r="M416" s="417"/>
      <c r="N416" s="417"/>
      <c r="O416" s="417"/>
      <c r="P416" s="417"/>
      <c r="Q416" s="417"/>
      <c r="R416" s="417"/>
      <c r="S416" s="417"/>
      <c r="T416" s="417"/>
      <c r="U416" s="417"/>
      <c r="V416" s="417"/>
      <c r="W416" s="417"/>
      <c r="X416" s="417"/>
      <c r="Y416" s="417"/>
      <c r="Z416" s="417"/>
    </row>
    <row r="417" spans="1:26" ht="15.75">
      <c r="A417" s="417"/>
      <c r="B417" s="417"/>
      <c r="C417" s="417"/>
      <c r="D417" s="417"/>
      <c r="E417" s="417"/>
      <c r="F417" s="417"/>
      <c r="G417" s="417"/>
      <c r="H417" s="417"/>
      <c r="I417" s="417"/>
      <c r="J417" s="417"/>
      <c r="K417" s="417"/>
      <c r="L417" s="417"/>
      <c r="M417" s="417"/>
      <c r="N417" s="417"/>
      <c r="O417" s="417"/>
      <c r="P417" s="417"/>
      <c r="Q417" s="417"/>
      <c r="R417" s="417"/>
      <c r="S417" s="417"/>
      <c r="T417" s="417"/>
      <c r="U417" s="417"/>
      <c r="V417" s="417"/>
      <c r="W417" s="417"/>
      <c r="X417" s="417"/>
      <c r="Y417" s="417"/>
      <c r="Z417" s="417"/>
    </row>
    <row r="418" spans="1:26" ht="15.75">
      <c r="A418" s="417"/>
      <c r="B418" s="417"/>
      <c r="C418" s="417"/>
      <c r="D418" s="417"/>
      <c r="E418" s="417"/>
      <c r="F418" s="417"/>
      <c r="G418" s="417"/>
      <c r="H418" s="417"/>
      <c r="I418" s="417"/>
      <c r="J418" s="417"/>
      <c r="K418" s="417"/>
      <c r="L418" s="417"/>
      <c r="M418" s="417"/>
      <c r="N418" s="417"/>
      <c r="O418" s="417"/>
      <c r="P418" s="417"/>
      <c r="Q418" s="417"/>
      <c r="R418" s="417"/>
      <c r="S418" s="417"/>
      <c r="T418" s="417"/>
      <c r="U418" s="417"/>
      <c r="V418" s="417"/>
      <c r="W418" s="417"/>
      <c r="X418" s="417"/>
      <c r="Y418" s="417"/>
      <c r="Z418" s="417"/>
    </row>
    <row r="419" spans="1:26" ht="15.75">
      <c r="A419" s="417"/>
      <c r="B419" s="417"/>
      <c r="C419" s="417"/>
      <c r="D419" s="417"/>
      <c r="E419" s="417"/>
      <c r="F419" s="417"/>
      <c r="G419" s="417"/>
      <c r="H419" s="417"/>
      <c r="I419" s="417"/>
      <c r="J419" s="417"/>
      <c r="K419" s="417"/>
      <c r="L419" s="417"/>
      <c r="M419" s="417"/>
      <c r="N419" s="417"/>
      <c r="O419" s="417"/>
      <c r="P419" s="417"/>
      <c r="Q419" s="417"/>
      <c r="R419" s="417"/>
      <c r="S419" s="417"/>
      <c r="T419" s="417"/>
      <c r="U419" s="417"/>
      <c r="V419" s="417"/>
      <c r="W419" s="417"/>
      <c r="X419" s="417"/>
      <c r="Y419" s="417"/>
      <c r="Z419" s="417"/>
    </row>
    <row r="420" spans="1:26" ht="15.75">
      <c r="A420" s="417"/>
      <c r="B420" s="417"/>
      <c r="C420" s="417"/>
      <c r="D420" s="417"/>
      <c r="E420" s="417"/>
      <c r="F420" s="417"/>
      <c r="G420" s="417"/>
      <c r="H420" s="417"/>
      <c r="I420" s="417"/>
      <c r="J420" s="417"/>
      <c r="K420" s="417"/>
      <c r="L420" s="417"/>
      <c r="M420" s="417"/>
      <c r="N420" s="417"/>
      <c r="O420" s="417"/>
      <c r="P420" s="417"/>
      <c r="Q420" s="417"/>
      <c r="R420" s="417"/>
      <c r="S420" s="417"/>
      <c r="T420" s="417"/>
      <c r="U420" s="417"/>
      <c r="V420" s="417"/>
      <c r="W420" s="417"/>
      <c r="X420" s="417"/>
      <c r="Y420" s="417"/>
      <c r="Z420" s="417"/>
    </row>
    <row r="421" spans="1:26" ht="15.75">
      <c r="A421" s="417"/>
      <c r="B421" s="417"/>
      <c r="C421" s="417"/>
      <c r="D421" s="417"/>
      <c r="E421" s="417"/>
      <c r="F421" s="417"/>
      <c r="G421" s="417"/>
      <c r="H421" s="417"/>
      <c r="I421" s="417"/>
      <c r="J421" s="417"/>
      <c r="K421" s="417"/>
      <c r="L421" s="417"/>
      <c r="M421" s="417"/>
      <c r="N421" s="417"/>
      <c r="O421" s="417"/>
      <c r="P421" s="417"/>
      <c r="Q421" s="417"/>
      <c r="R421" s="417"/>
      <c r="S421" s="417"/>
      <c r="T421" s="417"/>
      <c r="U421" s="417"/>
      <c r="V421" s="417"/>
      <c r="W421" s="417"/>
      <c r="X421" s="417"/>
      <c r="Y421" s="417"/>
      <c r="Z421" s="417"/>
    </row>
    <row r="422" spans="1:26" ht="15.75">
      <c r="A422" s="417"/>
      <c r="B422" s="417"/>
      <c r="C422" s="417"/>
      <c r="D422" s="417"/>
      <c r="E422" s="417"/>
      <c r="F422" s="417"/>
      <c r="G422" s="417"/>
      <c r="H422" s="417"/>
      <c r="I422" s="417"/>
      <c r="J422" s="417"/>
      <c r="K422" s="417"/>
      <c r="L422" s="417"/>
      <c r="M422" s="417"/>
      <c r="N422" s="417"/>
      <c r="O422" s="417"/>
      <c r="P422" s="417"/>
      <c r="Q422" s="417"/>
      <c r="R422" s="417"/>
      <c r="S422" s="417"/>
      <c r="T422" s="417"/>
      <c r="U422" s="417"/>
      <c r="V422" s="417"/>
      <c r="W422" s="417"/>
      <c r="X422" s="417"/>
      <c r="Y422" s="417"/>
      <c r="Z422" s="417"/>
    </row>
    <row r="423" spans="1:26" ht="15.75">
      <c r="A423" s="417"/>
      <c r="B423" s="417"/>
      <c r="C423" s="417"/>
      <c r="D423" s="417"/>
      <c r="E423" s="417"/>
      <c r="F423" s="417"/>
      <c r="G423" s="417"/>
      <c r="H423" s="417"/>
      <c r="I423" s="417"/>
      <c r="J423" s="417"/>
      <c r="K423" s="417"/>
      <c r="L423" s="417"/>
      <c r="M423" s="417"/>
      <c r="N423" s="417"/>
      <c r="O423" s="417"/>
      <c r="P423" s="417"/>
      <c r="Q423" s="417"/>
      <c r="R423" s="417"/>
      <c r="S423" s="417"/>
      <c r="T423" s="417"/>
      <c r="U423" s="417"/>
      <c r="V423" s="417"/>
      <c r="W423" s="417"/>
      <c r="X423" s="417"/>
      <c r="Y423" s="417"/>
      <c r="Z423" s="417"/>
    </row>
    <row r="424" spans="1:26" ht="15.75">
      <c r="A424" s="417"/>
      <c r="B424" s="417"/>
      <c r="C424" s="417"/>
      <c r="D424" s="417"/>
      <c r="E424" s="417"/>
      <c r="F424" s="417"/>
      <c r="G424" s="417"/>
      <c r="H424" s="417"/>
      <c r="I424" s="417"/>
      <c r="J424" s="417"/>
      <c r="K424" s="417"/>
      <c r="L424" s="417"/>
      <c r="M424" s="417"/>
      <c r="N424" s="417"/>
      <c r="O424" s="417"/>
      <c r="P424" s="417"/>
      <c r="Q424" s="417"/>
      <c r="R424" s="417"/>
      <c r="S424" s="417"/>
      <c r="T424" s="417"/>
      <c r="U424" s="417"/>
      <c r="V424" s="417"/>
      <c r="W424" s="417"/>
      <c r="X424" s="417"/>
      <c r="Y424" s="417"/>
      <c r="Z424" s="417"/>
    </row>
    <row r="425" spans="1:26" ht="15.75">
      <c r="A425" s="417"/>
      <c r="B425" s="417"/>
      <c r="C425" s="417"/>
      <c r="D425" s="417"/>
      <c r="E425" s="417"/>
      <c r="F425" s="417"/>
      <c r="G425" s="417"/>
      <c r="H425" s="417"/>
      <c r="I425" s="417"/>
      <c r="J425" s="417"/>
      <c r="K425" s="417"/>
      <c r="L425" s="417"/>
      <c r="M425" s="417"/>
      <c r="N425" s="417"/>
      <c r="O425" s="417"/>
      <c r="P425" s="417"/>
      <c r="Q425" s="417"/>
      <c r="R425" s="417"/>
      <c r="S425" s="417"/>
      <c r="T425" s="417"/>
      <c r="U425" s="417"/>
      <c r="V425" s="417"/>
      <c r="W425" s="417"/>
      <c r="X425" s="417"/>
      <c r="Y425" s="417"/>
      <c r="Z425" s="417"/>
    </row>
    <row r="426" spans="1:26" ht="15.75">
      <c r="A426" s="417"/>
      <c r="B426" s="417"/>
      <c r="C426" s="417"/>
      <c r="D426" s="417"/>
      <c r="E426" s="417"/>
      <c r="F426" s="417"/>
      <c r="G426" s="417"/>
      <c r="H426" s="417"/>
      <c r="I426" s="417"/>
      <c r="J426" s="417"/>
      <c r="K426" s="417"/>
      <c r="L426" s="417"/>
      <c r="M426" s="417"/>
      <c r="N426" s="417"/>
      <c r="O426" s="417"/>
      <c r="P426" s="417"/>
      <c r="Q426" s="417"/>
      <c r="R426" s="417"/>
      <c r="S426" s="417"/>
      <c r="T426" s="417"/>
      <c r="U426" s="417"/>
      <c r="V426" s="417"/>
      <c r="W426" s="417"/>
      <c r="X426" s="417"/>
      <c r="Y426" s="417"/>
      <c r="Z426" s="417"/>
    </row>
    <row r="427" spans="1:26" ht="15.75">
      <c r="A427" s="417"/>
      <c r="B427" s="417"/>
      <c r="C427" s="417"/>
      <c r="D427" s="417"/>
      <c r="E427" s="417"/>
      <c r="F427" s="417"/>
      <c r="G427" s="417"/>
      <c r="H427" s="417"/>
      <c r="I427" s="417"/>
      <c r="J427" s="417"/>
      <c r="K427" s="417"/>
      <c r="L427" s="417"/>
      <c r="M427" s="417"/>
      <c r="N427" s="417"/>
      <c r="O427" s="417"/>
      <c r="P427" s="417"/>
      <c r="Q427" s="417"/>
      <c r="R427" s="417"/>
      <c r="S427" s="417"/>
      <c r="T427" s="417"/>
      <c r="U427" s="417"/>
      <c r="V427" s="417"/>
      <c r="W427" s="417"/>
      <c r="X427" s="417"/>
      <c r="Y427" s="417"/>
      <c r="Z427" s="417"/>
    </row>
    <row r="428" spans="1:26" ht="15.75">
      <c r="A428" s="417"/>
      <c r="B428" s="417"/>
      <c r="C428" s="417"/>
      <c r="D428" s="417"/>
      <c r="E428" s="417"/>
      <c r="F428" s="417"/>
      <c r="G428" s="417"/>
      <c r="H428" s="417"/>
      <c r="I428" s="417"/>
      <c r="J428" s="417"/>
      <c r="K428" s="417"/>
      <c r="L428" s="417"/>
      <c r="M428" s="417"/>
      <c r="N428" s="417"/>
      <c r="O428" s="417"/>
      <c r="P428" s="417"/>
      <c r="Q428" s="417"/>
      <c r="R428" s="417"/>
      <c r="S428" s="417"/>
      <c r="T428" s="417"/>
      <c r="U428" s="417"/>
      <c r="V428" s="417"/>
      <c r="W428" s="417"/>
      <c r="X428" s="417"/>
      <c r="Y428" s="417"/>
      <c r="Z428" s="417"/>
    </row>
    <row r="429" spans="1:26" ht="15.75">
      <c r="A429" s="417"/>
      <c r="B429" s="417"/>
      <c r="C429" s="417"/>
      <c r="D429" s="417"/>
      <c r="E429" s="417"/>
      <c r="F429" s="417"/>
      <c r="G429" s="417"/>
      <c r="H429" s="417"/>
      <c r="I429" s="417"/>
      <c r="J429" s="417"/>
      <c r="K429" s="417"/>
      <c r="L429" s="417"/>
      <c r="M429" s="417"/>
      <c r="N429" s="417"/>
      <c r="O429" s="417"/>
      <c r="P429" s="417"/>
      <c r="Q429" s="417"/>
      <c r="R429" s="417"/>
      <c r="S429" s="417"/>
      <c r="T429" s="417"/>
      <c r="U429" s="417"/>
      <c r="V429" s="417"/>
      <c r="W429" s="417"/>
      <c r="X429" s="417"/>
      <c r="Y429" s="417"/>
      <c r="Z429" s="417"/>
    </row>
    <row r="430" spans="1:26" ht="15.75">
      <c r="A430" s="417"/>
      <c r="B430" s="417"/>
      <c r="C430" s="417"/>
      <c r="D430" s="417"/>
      <c r="E430" s="417"/>
      <c r="F430" s="417"/>
      <c r="G430" s="417"/>
      <c r="H430" s="417"/>
      <c r="I430" s="417"/>
      <c r="J430" s="417"/>
      <c r="K430" s="417"/>
      <c r="L430" s="417"/>
      <c r="M430" s="417"/>
      <c r="N430" s="417"/>
      <c r="O430" s="417"/>
      <c r="P430" s="417"/>
      <c r="Q430" s="417"/>
      <c r="R430" s="417"/>
      <c r="S430" s="417"/>
      <c r="T430" s="417"/>
      <c r="U430" s="417"/>
      <c r="V430" s="417"/>
      <c r="W430" s="417"/>
      <c r="X430" s="417"/>
      <c r="Y430" s="417"/>
      <c r="Z430" s="417"/>
    </row>
    <row r="431" spans="1:26" ht="15.75">
      <c r="A431" s="417"/>
      <c r="B431" s="417"/>
      <c r="C431" s="417"/>
      <c r="D431" s="417"/>
      <c r="E431" s="417"/>
      <c r="F431" s="417"/>
      <c r="G431" s="417"/>
      <c r="H431" s="417"/>
      <c r="I431" s="417"/>
      <c r="J431" s="417"/>
      <c r="K431" s="417"/>
      <c r="L431" s="417"/>
      <c r="M431" s="417"/>
      <c r="N431" s="417"/>
      <c r="O431" s="417"/>
      <c r="P431" s="417"/>
      <c r="Q431" s="417"/>
      <c r="R431" s="417"/>
      <c r="S431" s="417"/>
      <c r="T431" s="417"/>
      <c r="U431" s="417"/>
      <c r="V431" s="417"/>
      <c r="W431" s="417"/>
      <c r="X431" s="417"/>
      <c r="Y431" s="417"/>
      <c r="Z431" s="417"/>
    </row>
    <row r="432" spans="1:26" ht="15.75">
      <c r="A432" s="417"/>
      <c r="B432" s="417"/>
      <c r="C432" s="417"/>
      <c r="D432" s="417"/>
      <c r="E432" s="417"/>
      <c r="F432" s="417"/>
      <c r="G432" s="417"/>
      <c r="H432" s="417"/>
      <c r="I432" s="417"/>
      <c r="J432" s="417"/>
      <c r="K432" s="417"/>
      <c r="L432" s="417"/>
      <c r="M432" s="417"/>
      <c r="N432" s="417"/>
      <c r="O432" s="417"/>
      <c r="P432" s="417"/>
      <c r="Q432" s="417"/>
      <c r="R432" s="417"/>
      <c r="S432" s="417"/>
      <c r="T432" s="417"/>
      <c r="U432" s="417"/>
      <c r="V432" s="417"/>
      <c r="W432" s="417"/>
      <c r="X432" s="417"/>
      <c r="Y432" s="417"/>
      <c r="Z432" s="417"/>
    </row>
    <row r="433" spans="1:26" ht="15.75">
      <c r="A433" s="417"/>
      <c r="B433" s="417"/>
      <c r="C433" s="417"/>
      <c r="D433" s="417"/>
      <c r="E433" s="417"/>
      <c r="F433" s="417"/>
      <c r="G433" s="417"/>
      <c r="H433" s="417"/>
      <c r="I433" s="417"/>
      <c r="J433" s="417"/>
      <c r="K433" s="417"/>
      <c r="L433" s="417"/>
      <c r="M433" s="417"/>
      <c r="N433" s="417"/>
      <c r="O433" s="417"/>
      <c r="P433" s="417"/>
      <c r="Q433" s="417"/>
      <c r="R433" s="417"/>
      <c r="S433" s="417"/>
      <c r="T433" s="417"/>
      <c r="U433" s="417"/>
      <c r="V433" s="417"/>
      <c r="W433" s="417"/>
      <c r="X433" s="417"/>
      <c r="Y433" s="417"/>
      <c r="Z433" s="417"/>
    </row>
    <row r="434" spans="1:26" ht="15.75">
      <c r="A434" s="417"/>
      <c r="B434" s="417"/>
      <c r="C434" s="417"/>
      <c r="D434" s="417"/>
      <c r="E434" s="417"/>
      <c r="F434" s="417"/>
      <c r="G434" s="417"/>
      <c r="H434" s="417"/>
      <c r="I434" s="417"/>
      <c r="J434" s="417"/>
      <c r="K434" s="417"/>
      <c r="L434" s="417"/>
      <c r="M434" s="417"/>
      <c r="N434" s="417"/>
      <c r="O434" s="417"/>
      <c r="P434" s="417"/>
      <c r="Q434" s="417"/>
      <c r="R434" s="417"/>
      <c r="S434" s="417"/>
      <c r="T434" s="417"/>
      <c r="U434" s="417"/>
      <c r="V434" s="417"/>
      <c r="W434" s="417"/>
      <c r="X434" s="417"/>
      <c r="Y434" s="417"/>
      <c r="Z434" s="417"/>
    </row>
    <row r="435" spans="1:26" ht="15.75">
      <c r="A435" s="417"/>
      <c r="B435" s="417"/>
      <c r="C435" s="417"/>
      <c r="D435" s="417"/>
      <c r="E435" s="417"/>
      <c r="F435" s="417"/>
      <c r="G435" s="417"/>
      <c r="H435" s="417"/>
      <c r="I435" s="417"/>
      <c r="J435" s="417"/>
      <c r="K435" s="417"/>
      <c r="L435" s="417"/>
      <c r="M435" s="417"/>
      <c r="N435" s="417"/>
      <c r="O435" s="417"/>
      <c r="P435" s="417"/>
      <c r="Q435" s="417"/>
      <c r="R435" s="417"/>
      <c r="S435" s="417"/>
      <c r="T435" s="417"/>
      <c r="U435" s="417"/>
      <c r="V435" s="417"/>
      <c r="W435" s="417"/>
      <c r="X435" s="417"/>
      <c r="Y435" s="417"/>
      <c r="Z435" s="417"/>
    </row>
    <row r="436" spans="1:26" ht="15.75">
      <c r="A436" s="417"/>
      <c r="B436" s="417"/>
      <c r="C436" s="417"/>
      <c r="D436" s="417"/>
      <c r="E436" s="417"/>
      <c r="F436" s="417"/>
      <c r="G436" s="417"/>
      <c r="H436" s="417"/>
      <c r="I436" s="417"/>
      <c r="J436" s="417"/>
      <c r="K436" s="417"/>
      <c r="L436" s="417"/>
      <c r="M436" s="417"/>
      <c r="N436" s="417"/>
      <c r="O436" s="417"/>
      <c r="P436" s="417"/>
      <c r="Q436" s="417"/>
      <c r="R436" s="417"/>
      <c r="S436" s="417"/>
      <c r="T436" s="417"/>
      <c r="U436" s="417"/>
      <c r="V436" s="417"/>
      <c r="W436" s="417"/>
      <c r="X436" s="417"/>
      <c r="Y436" s="417"/>
      <c r="Z436" s="417"/>
    </row>
    <row r="437" spans="1:26" ht="15.75">
      <c r="A437" s="417"/>
      <c r="B437" s="417"/>
      <c r="C437" s="417"/>
      <c r="D437" s="417"/>
      <c r="E437" s="417"/>
      <c r="F437" s="417"/>
      <c r="G437" s="417"/>
      <c r="H437" s="417"/>
      <c r="I437" s="417"/>
      <c r="J437" s="417"/>
      <c r="K437" s="417"/>
      <c r="L437" s="417"/>
      <c r="M437" s="417"/>
      <c r="N437" s="417"/>
      <c r="O437" s="417"/>
      <c r="P437" s="417"/>
      <c r="Q437" s="417"/>
      <c r="R437" s="417"/>
      <c r="S437" s="417"/>
      <c r="T437" s="417"/>
      <c r="U437" s="417"/>
      <c r="V437" s="417"/>
      <c r="W437" s="417"/>
      <c r="X437" s="417"/>
      <c r="Y437" s="417"/>
      <c r="Z437" s="417"/>
    </row>
    <row r="438" spans="1:26" ht="15.75">
      <c r="A438" s="417"/>
      <c r="B438" s="417"/>
      <c r="C438" s="417"/>
      <c r="D438" s="417"/>
      <c r="E438" s="417"/>
      <c r="F438" s="417"/>
      <c r="G438" s="417"/>
      <c r="H438" s="417"/>
      <c r="I438" s="417"/>
      <c r="J438" s="417"/>
      <c r="K438" s="417"/>
      <c r="L438" s="417"/>
      <c r="M438" s="417"/>
      <c r="N438" s="417"/>
      <c r="O438" s="417"/>
      <c r="P438" s="417"/>
      <c r="Q438" s="417"/>
      <c r="R438" s="417"/>
      <c r="S438" s="417"/>
      <c r="T438" s="417"/>
      <c r="U438" s="417"/>
      <c r="V438" s="417"/>
      <c r="W438" s="417"/>
      <c r="X438" s="417"/>
      <c r="Y438" s="417"/>
      <c r="Z438" s="417"/>
    </row>
    <row r="439" spans="1:26" ht="15.75">
      <c r="A439" s="417"/>
      <c r="B439" s="417"/>
      <c r="C439" s="417"/>
      <c r="D439" s="417"/>
      <c r="E439" s="417"/>
      <c r="F439" s="417"/>
      <c r="G439" s="417"/>
      <c r="H439" s="417"/>
      <c r="I439" s="417"/>
      <c r="J439" s="417"/>
      <c r="K439" s="417"/>
      <c r="L439" s="417"/>
      <c r="M439" s="417"/>
      <c r="N439" s="417"/>
      <c r="O439" s="417"/>
      <c r="P439" s="417"/>
      <c r="Q439" s="417"/>
      <c r="R439" s="417"/>
      <c r="S439" s="417"/>
      <c r="T439" s="417"/>
      <c r="U439" s="417"/>
      <c r="V439" s="417"/>
      <c r="W439" s="417"/>
      <c r="X439" s="417"/>
      <c r="Y439" s="417"/>
      <c r="Z439" s="417"/>
    </row>
    <row r="440" spans="1:26" ht="15.75">
      <c r="A440" s="417"/>
      <c r="B440" s="417"/>
      <c r="C440" s="417"/>
      <c r="D440" s="417"/>
      <c r="E440" s="417"/>
      <c r="F440" s="417"/>
      <c r="G440" s="417"/>
      <c r="H440" s="417"/>
      <c r="I440" s="417"/>
      <c r="J440" s="417"/>
      <c r="K440" s="417"/>
      <c r="L440" s="417"/>
      <c r="M440" s="417"/>
      <c r="N440" s="417"/>
      <c r="O440" s="417"/>
      <c r="P440" s="417"/>
      <c r="Q440" s="417"/>
      <c r="R440" s="417"/>
      <c r="S440" s="417"/>
      <c r="T440" s="417"/>
      <c r="U440" s="417"/>
      <c r="V440" s="417"/>
      <c r="W440" s="417"/>
      <c r="X440" s="417"/>
      <c r="Y440" s="417"/>
      <c r="Z440" s="417"/>
    </row>
    <row r="441" spans="1:26" ht="15.75">
      <c r="A441" s="417"/>
      <c r="B441" s="417"/>
      <c r="C441" s="417"/>
      <c r="D441" s="417"/>
      <c r="E441" s="417"/>
      <c r="F441" s="417"/>
      <c r="G441" s="417"/>
      <c r="H441" s="417"/>
      <c r="I441" s="417"/>
      <c r="J441" s="417"/>
      <c r="K441" s="417"/>
      <c r="L441" s="417"/>
      <c r="M441" s="417"/>
      <c r="N441" s="417"/>
      <c r="O441" s="417"/>
      <c r="P441" s="417"/>
      <c r="Q441" s="417"/>
      <c r="R441" s="417"/>
      <c r="S441" s="417"/>
      <c r="T441" s="417"/>
      <c r="U441" s="417"/>
      <c r="V441" s="417"/>
      <c r="W441" s="417"/>
      <c r="X441" s="417"/>
      <c r="Y441" s="417"/>
      <c r="Z441" s="417"/>
    </row>
    <row r="442" spans="1:26" ht="15.75">
      <c r="A442" s="417"/>
      <c r="B442" s="417"/>
      <c r="C442" s="417"/>
      <c r="D442" s="417"/>
      <c r="E442" s="417"/>
      <c r="F442" s="417"/>
      <c r="G442" s="417"/>
      <c r="H442" s="417"/>
      <c r="I442" s="417"/>
      <c r="J442" s="417"/>
      <c r="K442" s="417"/>
      <c r="L442" s="417"/>
      <c r="M442" s="417"/>
      <c r="N442" s="417"/>
      <c r="O442" s="417"/>
      <c r="P442" s="417"/>
      <c r="Q442" s="417"/>
      <c r="R442" s="417"/>
      <c r="S442" s="417"/>
      <c r="T442" s="417"/>
      <c r="U442" s="417"/>
      <c r="V442" s="417"/>
      <c r="W442" s="417"/>
      <c r="X442" s="417"/>
      <c r="Y442" s="417"/>
      <c r="Z442" s="417"/>
    </row>
    <row r="443" spans="1:26" ht="15.75">
      <c r="A443" s="417"/>
      <c r="B443" s="417"/>
      <c r="C443" s="417"/>
      <c r="D443" s="417"/>
      <c r="E443" s="417"/>
      <c r="F443" s="417"/>
      <c r="G443" s="417"/>
      <c r="H443" s="417"/>
      <c r="I443" s="417"/>
      <c r="J443" s="417"/>
      <c r="K443" s="417"/>
      <c r="L443" s="417"/>
      <c r="M443" s="417"/>
      <c r="N443" s="417"/>
      <c r="O443" s="417"/>
      <c r="P443" s="417"/>
      <c r="Q443" s="417"/>
      <c r="R443" s="417"/>
      <c r="S443" s="417"/>
      <c r="T443" s="417"/>
      <c r="U443" s="417"/>
      <c r="V443" s="417"/>
      <c r="W443" s="417"/>
      <c r="X443" s="417"/>
      <c r="Y443" s="417"/>
      <c r="Z443" s="417"/>
    </row>
    <row r="444" spans="1:26" ht="15.75">
      <c r="A444" s="417"/>
      <c r="B444" s="417"/>
      <c r="C444" s="417"/>
      <c r="D444" s="417"/>
      <c r="E444" s="417"/>
      <c r="F444" s="417"/>
      <c r="G444" s="417"/>
      <c r="H444" s="417"/>
      <c r="I444" s="417"/>
      <c r="J444" s="417"/>
      <c r="K444" s="417"/>
      <c r="L444" s="417"/>
      <c r="M444" s="417"/>
      <c r="N444" s="417"/>
      <c r="O444" s="417"/>
      <c r="P444" s="417"/>
      <c r="Q444" s="417"/>
      <c r="R444" s="417"/>
      <c r="S444" s="417"/>
      <c r="T444" s="417"/>
      <c r="U444" s="417"/>
      <c r="V444" s="417"/>
      <c r="W444" s="417"/>
      <c r="X444" s="417"/>
      <c r="Y444" s="417"/>
      <c r="Z444" s="417"/>
    </row>
    <row r="445" spans="1:26" ht="15.75">
      <c r="A445" s="417"/>
      <c r="B445" s="417"/>
      <c r="C445" s="417"/>
      <c r="D445" s="417"/>
      <c r="E445" s="417"/>
      <c r="F445" s="417"/>
      <c r="G445" s="417"/>
      <c r="H445" s="417"/>
      <c r="I445" s="417"/>
      <c r="J445" s="417"/>
      <c r="K445" s="417"/>
      <c r="L445" s="417"/>
      <c r="M445" s="417"/>
      <c r="N445" s="417"/>
      <c r="O445" s="417"/>
      <c r="P445" s="417"/>
      <c r="Q445" s="417"/>
      <c r="R445" s="417"/>
      <c r="S445" s="417"/>
      <c r="T445" s="417"/>
      <c r="U445" s="417"/>
      <c r="V445" s="417"/>
      <c r="W445" s="417"/>
      <c r="X445" s="417"/>
      <c r="Y445" s="417"/>
      <c r="Z445" s="417"/>
    </row>
    <row r="446" spans="1:26" ht="15.75">
      <c r="A446" s="417"/>
      <c r="B446" s="417"/>
      <c r="C446" s="417"/>
      <c r="D446" s="417"/>
      <c r="E446" s="417"/>
      <c r="F446" s="417"/>
      <c r="G446" s="417"/>
      <c r="H446" s="417"/>
      <c r="I446" s="417"/>
      <c r="J446" s="417"/>
      <c r="K446" s="417"/>
      <c r="L446" s="417"/>
      <c r="M446" s="417"/>
      <c r="N446" s="417"/>
      <c r="O446" s="417"/>
      <c r="P446" s="417"/>
      <c r="Q446" s="417"/>
      <c r="R446" s="417"/>
      <c r="S446" s="417"/>
      <c r="T446" s="417"/>
      <c r="U446" s="417"/>
      <c r="V446" s="417"/>
      <c r="W446" s="417"/>
      <c r="X446" s="417"/>
      <c r="Y446" s="417"/>
      <c r="Z446" s="417"/>
    </row>
    <row r="447" spans="1:26" ht="15.75">
      <c r="A447" s="417"/>
      <c r="B447" s="417"/>
      <c r="C447" s="417"/>
      <c r="D447" s="417"/>
      <c r="E447" s="417"/>
      <c r="F447" s="417"/>
      <c r="G447" s="417"/>
      <c r="H447" s="417"/>
      <c r="I447" s="417"/>
      <c r="J447" s="417"/>
      <c r="K447" s="417"/>
      <c r="L447" s="417"/>
      <c r="M447" s="417"/>
      <c r="N447" s="417"/>
      <c r="O447" s="417"/>
      <c r="P447" s="417"/>
      <c r="Q447" s="417"/>
      <c r="R447" s="417"/>
      <c r="S447" s="417"/>
      <c r="T447" s="417"/>
      <c r="U447" s="417"/>
      <c r="V447" s="417"/>
      <c r="W447" s="417"/>
      <c r="X447" s="417"/>
      <c r="Y447" s="417"/>
      <c r="Z447" s="417"/>
    </row>
    <row r="448" spans="1:26" ht="15.75">
      <c r="A448" s="417"/>
      <c r="B448" s="417"/>
      <c r="C448" s="417"/>
      <c r="D448" s="417"/>
      <c r="E448" s="417"/>
      <c r="F448" s="417"/>
      <c r="G448" s="417"/>
      <c r="H448" s="417"/>
      <c r="I448" s="417"/>
      <c r="J448" s="417"/>
      <c r="K448" s="417"/>
      <c r="L448" s="417"/>
      <c r="M448" s="417"/>
      <c r="N448" s="417"/>
      <c r="O448" s="417"/>
      <c r="P448" s="417"/>
      <c r="Q448" s="417"/>
      <c r="R448" s="417"/>
      <c r="S448" s="417"/>
      <c r="T448" s="417"/>
      <c r="U448" s="417"/>
      <c r="V448" s="417"/>
      <c r="W448" s="417"/>
      <c r="X448" s="417"/>
      <c r="Y448" s="417"/>
      <c r="Z448" s="417"/>
    </row>
    <row r="449" spans="1:26" ht="15.75">
      <c r="A449" s="417"/>
      <c r="B449" s="417"/>
      <c r="C449" s="417"/>
      <c r="D449" s="417"/>
      <c r="E449" s="417"/>
      <c r="F449" s="417"/>
      <c r="G449" s="417"/>
      <c r="H449" s="417"/>
      <c r="I449" s="417"/>
      <c r="J449" s="417"/>
      <c r="K449" s="417"/>
      <c r="L449" s="417"/>
      <c r="M449" s="417"/>
      <c r="N449" s="417"/>
      <c r="O449" s="417"/>
      <c r="P449" s="417"/>
      <c r="Q449" s="417"/>
      <c r="R449" s="417"/>
      <c r="S449" s="417"/>
      <c r="T449" s="417"/>
      <c r="U449" s="417"/>
      <c r="V449" s="417"/>
      <c r="W449" s="417"/>
      <c r="X449" s="417"/>
      <c r="Y449" s="417"/>
      <c r="Z449" s="417"/>
    </row>
    <row r="450" spans="1:26" ht="15.75">
      <c r="A450" s="417"/>
      <c r="B450" s="417"/>
      <c r="C450" s="417"/>
      <c r="D450" s="417"/>
      <c r="E450" s="417"/>
      <c r="F450" s="417"/>
      <c r="G450" s="417"/>
      <c r="H450" s="417"/>
      <c r="I450" s="417"/>
      <c r="J450" s="417"/>
      <c r="K450" s="417"/>
      <c r="L450" s="417"/>
      <c r="M450" s="417"/>
      <c r="N450" s="417"/>
      <c r="O450" s="417"/>
      <c r="P450" s="417"/>
      <c r="Q450" s="417"/>
      <c r="R450" s="417"/>
      <c r="S450" s="417"/>
      <c r="T450" s="417"/>
      <c r="U450" s="417"/>
      <c r="V450" s="417"/>
      <c r="W450" s="417"/>
      <c r="X450" s="417"/>
      <c r="Y450" s="417"/>
      <c r="Z450" s="417"/>
    </row>
    <row r="451" spans="1:26" ht="15.75">
      <c r="A451" s="417"/>
      <c r="B451" s="417"/>
      <c r="C451" s="417"/>
      <c r="D451" s="417"/>
      <c r="E451" s="417"/>
      <c r="F451" s="417"/>
      <c r="G451" s="417"/>
      <c r="H451" s="417"/>
      <c r="I451" s="417"/>
      <c r="J451" s="417"/>
      <c r="K451" s="417"/>
      <c r="L451" s="417"/>
      <c r="M451" s="417"/>
      <c r="N451" s="417"/>
      <c r="O451" s="417"/>
      <c r="P451" s="417"/>
      <c r="Q451" s="417"/>
      <c r="R451" s="417"/>
      <c r="S451" s="417"/>
      <c r="T451" s="417"/>
      <c r="U451" s="417"/>
      <c r="V451" s="417"/>
      <c r="W451" s="417"/>
      <c r="X451" s="417"/>
      <c r="Y451" s="417"/>
      <c r="Z451" s="417"/>
    </row>
    <row r="452" spans="1:26" ht="15.75">
      <c r="A452" s="417"/>
      <c r="B452" s="417"/>
      <c r="C452" s="417"/>
      <c r="D452" s="417"/>
      <c r="E452" s="417"/>
      <c r="F452" s="417"/>
      <c r="G452" s="417"/>
      <c r="H452" s="417"/>
      <c r="I452" s="417"/>
      <c r="J452" s="417"/>
      <c r="K452" s="417"/>
      <c r="L452" s="417"/>
      <c r="M452" s="417"/>
      <c r="N452" s="417"/>
      <c r="O452" s="417"/>
      <c r="P452" s="417"/>
      <c r="Q452" s="417"/>
      <c r="R452" s="417"/>
      <c r="S452" s="417"/>
      <c r="T452" s="417"/>
      <c r="U452" s="417"/>
      <c r="V452" s="417"/>
      <c r="W452" s="417"/>
      <c r="X452" s="417"/>
      <c r="Y452" s="417"/>
      <c r="Z452" s="417"/>
    </row>
    <row r="453" spans="1:26" ht="15.75">
      <c r="A453" s="417"/>
      <c r="B453" s="417"/>
      <c r="C453" s="417"/>
      <c r="D453" s="417"/>
      <c r="E453" s="417"/>
      <c r="F453" s="417"/>
      <c r="G453" s="417"/>
      <c r="H453" s="417"/>
      <c r="I453" s="417"/>
      <c r="J453" s="417"/>
      <c r="K453" s="417"/>
      <c r="L453" s="417"/>
      <c r="M453" s="417"/>
      <c r="N453" s="417"/>
      <c r="O453" s="417"/>
      <c r="P453" s="417"/>
      <c r="Q453" s="417"/>
      <c r="R453" s="417"/>
      <c r="S453" s="417"/>
      <c r="T453" s="417"/>
      <c r="U453" s="417"/>
      <c r="V453" s="417"/>
      <c r="W453" s="417"/>
      <c r="X453" s="417"/>
      <c r="Y453" s="417"/>
      <c r="Z453" s="417"/>
    </row>
    <row r="454" spans="1:26" ht="15.75">
      <c r="A454" s="417"/>
      <c r="B454" s="417"/>
      <c r="C454" s="417"/>
      <c r="D454" s="417"/>
      <c r="E454" s="417"/>
      <c r="F454" s="417"/>
      <c r="G454" s="417"/>
      <c r="H454" s="417"/>
      <c r="I454" s="417"/>
      <c r="J454" s="417"/>
      <c r="K454" s="417"/>
      <c r="L454" s="417"/>
      <c r="M454" s="417"/>
      <c r="N454" s="417"/>
      <c r="O454" s="417"/>
      <c r="P454" s="417"/>
      <c r="Q454" s="417"/>
      <c r="R454" s="417"/>
      <c r="S454" s="417"/>
      <c r="T454" s="417"/>
      <c r="U454" s="417"/>
      <c r="V454" s="417"/>
      <c r="W454" s="417"/>
      <c r="X454" s="417"/>
      <c r="Y454" s="417"/>
      <c r="Z454" s="417"/>
    </row>
    <row r="455" spans="1:26" ht="15.75">
      <c r="A455" s="417"/>
      <c r="B455" s="417"/>
      <c r="C455" s="417"/>
      <c r="D455" s="417"/>
      <c r="E455" s="417"/>
      <c r="F455" s="417"/>
      <c r="G455" s="417"/>
      <c r="H455" s="417"/>
      <c r="I455" s="417"/>
      <c r="J455" s="417"/>
      <c r="K455" s="417"/>
      <c r="L455" s="417"/>
      <c r="M455" s="417"/>
      <c r="N455" s="417"/>
      <c r="O455" s="417"/>
      <c r="P455" s="417"/>
      <c r="Q455" s="417"/>
      <c r="R455" s="417"/>
      <c r="S455" s="417"/>
      <c r="T455" s="417"/>
      <c r="U455" s="417"/>
      <c r="V455" s="417"/>
      <c r="W455" s="417"/>
      <c r="X455" s="417"/>
      <c r="Y455" s="417"/>
      <c r="Z455" s="417"/>
    </row>
    <row r="456" spans="1:26" ht="15.75">
      <c r="A456" s="417"/>
      <c r="B456" s="417"/>
      <c r="C456" s="417"/>
      <c r="D456" s="417"/>
      <c r="E456" s="417"/>
      <c r="F456" s="417"/>
      <c r="G456" s="417"/>
      <c r="H456" s="417"/>
      <c r="I456" s="417"/>
      <c r="J456" s="417"/>
      <c r="K456" s="417"/>
      <c r="L456" s="417"/>
      <c r="M456" s="417"/>
      <c r="N456" s="417"/>
      <c r="O456" s="417"/>
      <c r="P456" s="417"/>
      <c r="Q456" s="417"/>
      <c r="R456" s="417"/>
      <c r="S456" s="417"/>
      <c r="T456" s="417"/>
      <c r="U456" s="417"/>
      <c r="V456" s="417"/>
      <c r="W456" s="417"/>
      <c r="X456" s="417"/>
      <c r="Y456" s="417"/>
      <c r="Z456" s="417"/>
    </row>
    <row r="457" spans="1:26" ht="15.75">
      <c r="A457" s="417"/>
      <c r="B457" s="417"/>
      <c r="C457" s="417"/>
      <c r="D457" s="417"/>
      <c r="E457" s="417"/>
      <c r="F457" s="417"/>
      <c r="G457" s="417"/>
      <c r="H457" s="417"/>
      <c r="I457" s="417"/>
      <c r="J457" s="417"/>
      <c r="K457" s="417"/>
      <c r="L457" s="417"/>
      <c r="M457" s="417"/>
      <c r="N457" s="417"/>
      <c r="O457" s="417"/>
      <c r="P457" s="417"/>
      <c r="Q457" s="417"/>
      <c r="R457" s="417"/>
      <c r="S457" s="417"/>
      <c r="T457" s="417"/>
      <c r="U457" s="417"/>
      <c r="V457" s="417"/>
      <c r="W457" s="417"/>
      <c r="X457" s="417"/>
      <c r="Y457" s="417"/>
      <c r="Z457" s="417"/>
    </row>
    <row r="458" spans="1:26" ht="15.75">
      <c r="A458" s="417"/>
      <c r="B458" s="417"/>
      <c r="C458" s="417"/>
      <c r="D458" s="417"/>
      <c r="E458" s="417"/>
      <c r="F458" s="417"/>
      <c r="G458" s="417"/>
      <c r="H458" s="417"/>
      <c r="I458" s="417"/>
      <c r="J458" s="417"/>
      <c r="K458" s="417"/>
      <c r="L458" s="417"/>
      <c r="M458" s="417"/>
      <c r="N458" s="417"/>
      <c r="O458" s="417"/>
      <c r="P458" s="417"/>
      <c r="Q458" s="417"/>
      <c r="R458" s="417"/>
      <c r="S458" s="417"/>
      <c r="T458" s="417"/>
      <c r="U458" s="417"/>
      <c r="V458" s="417"/>
      <c r="W458" s="417"/>
      <c r="X458" s="417"/>
      <c r="Y458" s="417"/>
      <c r="Z458" s="417"/>
    </row>
    <row r="459" spans="1:26" ht="15.75">
      <c r="A459" s="417"/>
      <c r="B459" s="417"/>
      <c r="C459" s="417"/>
      <c r="D459" s="417"/>
      <c r="E459" s="417"/>
      <c r="F459" s="417"/>
      <c r="G459" s="417"/>
      <c r="H459" s="417"/>
      <c r="I459" s="417"/>
      <c r="J459" s="417"/>
      <c r="K459" s="417"/>
      <c r="L459" s="417"/>
      <c r="M459" s="417"/>
      <c r="N459" s="417"/>
      <c r="O459" s="417"/>
      <c r="P459" s="417"/>
      <c r="Q459" s="417"/>
      <c r="R459" s="417"/>
      <c r="S459" s="417"/>
      <c r="T459" s="417"/>
      <c r="U459" s="417"/>
      <c r="V459" s="417"/>
      <c r="W459" s="417"/>
      <c r="X459" s="417"/>
      <c r="Y459" s="417"/>
      <c r="Z459" s="417"/>
    </row>
    <row r="460" spans="1:26" ht="15.75">
      <c r="A460" s="417"/>
      <c r="B460" s="417"/>
      <c r="C460" s="417"/>
      <c r="D460" s="417"/>
      <c r="E460" s="417"/>
      <c r="F460" s="417"/>
      <c r="G460" s="417"/>
      <c r="H460" s="417"/>
      <c r="I460" s="417"/>
      <c r="J460" s="417"/>
      <c r="K460" s="417"/>
      <c r="L460" s="417"/>
      <c r="M460" s="417"/>
      <c r="N460" s="417"/>
      <c r="O460" s="417"/>
      <c r="P460" s="417"/>
      <c r="Q460" s="417"/>
      <c r="R460" s="417"/>
      <c r="S460" s="417"/>
      <c r="T460" s="417"/>
      <c r="U460" s="417"/>
      <c r="V460" s="417"/>
      <c r="W460" s="417"/>
      <c r="X460" s="417"/>
      <c r="Y460" s="417"/>
      <c r="Z460" s="417"/>
    </row>
    <row r="461" spans="1:26" ht="15.75">
      <c r="A461" s="417"/>
      <c r="B461" s="417"/>
      <c r="C461" s="417"/>
      <c r="D461" s="417"/>
      <c r="E461" s="417"/>
      <c r="F461" s="417"/>
      <c r="G461" s="417"/>
      <c r="H461" s="417"/>
      <c r="I461" s="417"/>
      <c r="J461" s="417"/>
      <c r="K461" s="417"/>
      <c r="L461" s="417"/>
      <c r="M461" s="417"/>
      <c r="N461" s="417"/>
      <c r="O461" s="417"/>
      <c r="P461" s="417"/>
      <c r="Q461" s="417"/>
      <c r="R461" s="417"/>
      <c r="S461" s="417"/>
      <c r="T461" s="417"/>
      <c r="U461" s="417"/>
      <c r="V461" s="417"/>
      <c r="W461" s="417"/>
      <c r="X461" s="417"/>
      <c r="Y461" s="417"/>
      <c r="Z461" s="417"/>
    </row>
    <row r="462" spans="1:26" ht="15.75">
      <c r="A462" s="417"/>
      <c r="B462" s="417"/>
      <c r="C462" s="417"/>
      <c r="D462" s="417"/>
      <c r="E462" s="417"/>
      <c r="F462" s="417"/>
      <c r="G462" s="417"/>
      <c r="H462" s="417"/>
      <c r="I462" s="417"/>
      <c r="J462" s="417"/>
      <c r="K462" s="417"/>
      <c r="L462" s="417"/>
      <c r="M462" s="417"/>
      <c r="N462" s="417"/>
      <c r="O462" s="417"/>
      <c r="P462" s="417"/>
      <c r="Q462" s="417"/>
      <c r="R462" s="417"/>
      <c r="S462" s="417"/>
      <c r="T462" s="417"/>
      <c r="U462" s="417"/>
      <c r="V462" s="417"/>
      <c r="W462" s="417"/>
      <c r="X462" s="417"/>
      <c r="Y462" s="417"/>
      <c r="Z462" s="417"/>
    </row>
    <row r="463" spans="1:26" ht="15.75">
      <c r="A463" s="417"/>
      <c r="B463" s="417"/>
      <c r="C463" s="417"/>
      <c r="D463" s="417"/>
      <c r="E463" s="417"/>
      <c r="F463" s="417"/>
      <c r="G463" s="417"/>
      <c r="H463" s="417"/>
      <c r="I463" s="417"/>
      <c r="J463" s="417"/>
      <c r="K463" s="417"/>
      <c r="L463" s="417"/>
      <c r="M463" s="417"/>
      <c r="N463" s="417"/>
      <c r="O463" s="417"/>
      <c r="P463" s="417"/>
      <c r="Q463" s="417"/>
      <c r="R463" s="417"/>
      <c r="S463" s="417"/>
      <c r="T463" s="417"/>
      <c r="U463" s="417"/>
      <c r="V463" s="417"/>
      <c r="W463" s="417"/>
      <c r="X463" s="417"/>
      <c r="Y463" s="417"/>
      <c r="Z463" s="417"/>
    </row>
    <row r="464" spans="1:26" ht="15.75">
      <c r="A464" s="417"/>
      <c r="B464" s="417"/>
      <c r="C464" s="417"/>
      <c r="D464" s="417"/>
      <c r="E464" s="417"/>
      <c r="F464" s="417"/>
      <c r="G464" s="417"/>
      <c r="H464" s="417"/>
      <c r="I464" s="417"/>
      <c r="J464" s="417"/>
      <c r="K464" s="417"/>
      <c r="L464" s="417"/>
      <c r="M464" s="417"/>
      <c r="N464" s="417"/>
      <c r="O464" s="417"/>
      <c r="P464" s="417"/>
      <c r="Q464" s="417"/>
      <c r="R464" s="417"/>
      <c r="S464" s="417"/>
      <c r="T464" s="417"/>
      <c r="U464" s="417"/>
      <c r="V464" s="417"/>
      <c r="W464" s="417"/>
      <c r="X464" s="417"/>
      <c r="Y464" s="417"/>
      <c r="Z464" s="417"/>
    </row>
    <row r="465" spans="1:26" ht="15.75">
      <c r="A465" s="417"/>
      <c r="B465" s="417"/>
      <c r="C465" s="417"/>
      <c r="D465" s="417"/>
      <c r="E465" s="417"/>
      <c r="F465" s="417"/>
      <c r="G465" s="417"/>
      <c r="H465" s="417"/>
      <c r="I465" s="417"/>
      <c r="J465" s="417"/>
      <c r="K465" s="417"/>
      <c r="L465" s="417"/>
      <c r="M465" s="417"/>
      <c r="N465" s="417"/>
      <c r="O465" s="417"/>
      <c r="P465" s="417"/>
      <c r="Q465" s="417"/>
      <c r="R465" s="417"/>
      <c r="S465" s="417"/>
      <c r="T465" s="417"/>
      <c r="U465" s="417"/>
      <c r="V465" s="417"/>
      <c r="W465" s="417"/>
      <c r="X465" s="417"/>
      <c r="Y465" s="417"/>
      <c r="Z465" s="417"/>
    </row>
    <row r="466" spans="1:26" ht="15.75">
      <c r="A466" s="417"/>
      <c r="B466" s="417"/>
      <c r="C466" s="417"/>
      <c r="D466" s="417"/>
      <c r="E466" s="417"/>
      <c r="F466" s="417"/>
      <c r="G466" s="417"/>
      <c r="H466" s="417"/>
      <c r="I466" s="417"/>
      <c r="J466" s="417"/>
      <c r="K466" s="417"/>
      <c r="L466" s="417"/>
      <c r="M466" s="417"/>
      <c r="N466" s="417"/>
      <c r="O466" s="417"/>
      <c r="P466" s="417"/>
      <c r="Q466" s="417"/>
      <c r="R466" s="417"/>
      <c r="S466" s="417"/>
      <c r="T466" s="417"/>
      <c r="U466" s="417"/>
      <c r="V466" s="417"/>
      <c r="W466" s="417"/>
      <c r="X466" s="417"/>
      <c r="Y466" s="417"/>
      <c r="Z466" s="417"/>
    </row>
    <row r="467" spans="1:26" ht="15.75">
      <c r="A467" s="417"/>
      <c r="B467" s="417"/>
      <c r="C467" s="417"/>
      <c r="D467" s="417"/>
      <c r="E467" s="417"/>
      <c r="F467" s="417"/>
      <c r="G467" s="417"/>
      <c r="H467" s="417"/>
      <c r="I467" s="417"/>
      <c r="J467" s="417"/>
      <c r="K467" s="417"/>
      <c r="L467" s="417"/>
      <c r="M467" s="417"/>
      <c r="N467" s="417"/>
      <c r="O467" s="417"/>
      <c r="P467" s="417"/>
      <c r="Q467" s="417"/>
      <c r="R467" s="417"/>
      <c r="S467" s="417"/>
      <c r="T467" s="417"/>
      <c r="U467" s="417"/>
      <c r="V467" s="417"/>
      <c r="W467" s="417"/>
      <c r="X467" s="417"/>
      <c r="Y467" s="417"/>
      <c r="Z467" s="417"/>
    </row>
    <row r="468" spans="1:26" ht="15.75">
      <c r="A468" s="417"/>
      <c r="B468" s="417"/>
      <c r="C468" s="417"/>
      <c r="D468" s="417"/>
      <c r="E468" s="417"/>
      <c r="F468" s="417"/>
      <c r="G468" s="417"/>
      <c r="H468" s="417"/>
      <c r="I468" s="417"/>
      <c r="J468" s="417"/>
      <c r="K468" s="417"/>
      <c r="L468" s="417"/>
      <c r="M468" s="417"/>
      <c r="N468" s="417"/>
      <c r="O468" s="417"/>
      <c r="P468" s="417"/>
      <c r="Q468" s="417"/>
      <c r="R468" s="417"/>
      <c r="S468" s="417"/>
      <c r="T468" s="417"/>
      <c r="U468" s="417"/>
      <c r="V468" s="417"/>
      <c r="W468" s="417"/>
      <c r="X468" s="417"/>
      <c r="Y468" s="417"/>
      <c r="Z468" s="417"/>
    </row>
    <row r="469" spans="1:26" ht="15.75">
      <c r="A469" s="417"/>
      <c r="B469" s="417"/>
      <c r="C469" s="417"/>
      <c r="D469" s="417"/>
      <c r="E469" s="417"/>
      <c r="F469" s="417"/>
      <c r="G469" s="417"/>
      <c r="H469" s="417"/>
      <c r="I469" s="417"/>
      <c r="J469" s="417"/>
      <c r="K469" s="417"/>
      <c r="L469" s="417"/>
      <c r="M469" s="417"/>
      <c r="N469" s="417"/>
      <c r="O469" s="417"/>
      <c r="P469" s="417"/>
      <c r="Q469" s="417"/>
      <c r="R469" s="417"/>
      <c r="S469" s="417"/>
      <c r="T469" s="417"/>
      <c r="U469" s="417"/>
      <c r="V469" s="417"/>
      <c r="W469" s="417"/>
      <c r="X469" s="417"/>
      <c r="Y469" s="417"/>
      <c r="Z469" s="417"/>
    </row>
    <row r="470" spans="1:26" ht="15.75">
      <c r="A470" s="417"/>
      <c r="B470" s="417"/>
      <c r="C470" s="417"/>
      <c r="D470" s="417"/>
      <c r="E470" s="417"/>
      <c r="F470" s="417"/>
      <c r="G470" s="417"/>
      <c r="H470" s="417"/>
      <c r="I470" s="417"/>
      <c r="J470" s="417"/>
      <c r="K470" s="417"/>
      <c r="L470" s="417"/>
      <c r="M470" s="417"/>
      <c r="N470" s="417"/>
      <c r="O470" s="417"/>
      <c r="P470" s="417"/>
      <c r="Q470" s="417"/>
      <c r="R470" s="417"/>
      <c r="S470" s="417"/>
      <c r="T470" s="417"/>
      <c r="U470" s="417"/>
      <c r="V470" s="417"/>
      <c r="W470" s="417"/>
      <c r="X470" s="417"/>
      <c r="Y470" s="417"/>
      <c r="Z470" s="417"/>
    </row>
    <row r="471" spans="1:26" ht="15.75">
      <c r="A471" s="417"/>
      <c r="B471" s="417"/>
      <c r="C471" s="417"/>
      <c r="D471" s="417"/>
      <c r="E471" s="417"/>
      <c r="F471" s="417"/>
      <c r="G471" s="417"/>
      <c r="H471" s="417"/>
      <c r="I471" s="417"/>
      <c r="J471" s="417"/>
      <c r="K471" s="417"/>
      <c r="L471" s="417"/>
      <c r="M471" s="417"/>
      <c r="N471" s="417"/>
      <c r="O471" s="417"/>
      <c r="P471" s="417"/>
      <c r="Q471" s="417"/>
      <c r="R471" s="417"/>
      <c r="S471" s="417"/>
      <c r="T471" s="417"/>
      <c r="U471" s="417"/>
      <c r="V471" s="417"/>
      <c r="W471" s="417"/>
      <c r="X471" s="417"/>
      <c r="Y471" s="417"/>
      <c r="Z471" s="417"/>
    </row>
    <row r="472" spans="1:26" ht="15.75">
      <c r="A472" s="417"/>
      <c r="B472" s="417"/>
      <c r="C472" s="417"/>
      <c r="D472" s="417"/>
      <c r="E472" s="417"/>
      <c r="F472" s="417"/>
      <c r="G472" s="417"/>
      <c r="H472" s="417"/>
      <c r="I472" s="417"/>
      <c r="J472" s="417"/>
      <c r="K472" s="417"/>
      <c r="L472" s="417"/>
      <c r="M472" s="417"/>
      <c r="N472" s="417"/>
      <c r="O472" s="417"/>
      <c r="P472" s="417"/>
      <c r="Q472" s="417"/>
      <c r="R472" s="417"/>
      <c r="S472" s="417"/>
      <c r="T472" s="417"/>
      <c r="U472" s="417"/>
      <c r="V472" s="417"/>
      <c r="W472" s="417"/>
      <c r="X472" s="417"/>
      <c r="Y472" s="417"/>
      <c r="Z472" s="417"/>
    </row>
    <row r="473" spans="1:26" ht="15.75">
      <c r="A473" s="417"/>
      <c r="B473" s="417"/>
      <c r="C473" s="417"/>
      <c r="D473" s="417"/>
      <c r="E473" s="417"/>
      <c r="F473" s="417"/>
      <c r="G473" s="417"/>
      <c r="H473" s="417"/>
      <c r="I473" s="417"/>
      <c r="J473" s="417"/>
      <c r="K473" s="417"/>
      <c r="L473" s="417"/>
      <c r="M473" s="417"/>
      <c r="N473" s="417"/>
      <c r="O473" s="417"/>
      <c r="P473" s="417"/>
      <c r="Q473" s="417"/>
      <c r="R473" s="417"/>
      <c r="S473" s="417"/>
      <c r="T473" s="417"/>
      <c r="U473" s="417"/>
      <c r="V473" s="417"/>
      <c r="W473" s="417"/>
      <c r="X473" s="417"/>
      <c r="Y473" s="417"/>
      <c r="Z473" s="417"/>
    </row>
    <row r="474" spans="1:26" ht="15.75">
      <c r="A474" s="417"/>
      <c r="B474" s="417"/>
      <c r="C474" s="417"/>
      <c r="D474" s="417"/>
      <c r="E474" s="417"/>
      <c r="F474" s="417"/>
      <c r="G474" s="417"/>
      <c r="H474" s="417"/>
      <c r="I474" s="417"/>
      <c r="J474" s="417"/>
      <c r="K474" s="417"/>
      <c r="L474" s="417"/>
      <c r="M474" s="417"/>
      <c r="N474" s="417"/>
      <c r="O474" s="417"/>
      <c r="P474" s="417"/>
      <c r="Q474" s="417"/>
      <c r="R474" s="417"/>
      <c r="S474" s="417"/>
      <c r="T474" s="417"/>
      <c r="U474" s="417"/>
      <c r="V474" s="417"/>
      <c r="W474" s="417"/>
      <c r="X474" s="417"/>
      <c r="Y474" s="417"/>
      <c r="Z474" s="417"/>
    </row>
    <row r="475" spans="1:26" ht="15.75">
      <c r="A475" s="417"/>
      <c r="B475" s="417"/>
      <c r="C475" s="417"/>
      <c r="D475" s="417"/>
      <c r="E475" s="417"/>
      <c r="F475" s="417"/>
      <c r="G475" s="417"/>
      <c r="H475" s="417"/>
      <c r="I475" s="417"/>
      <c r="J475" s="417"/>
      <c r="K475" s="417"/>
      <c r="L475" s="417"/>
      <c r="M475" s="417"/>
      <c r="N475" s="417"/>
      <c r="O475" s="417"/>
      <c r="P475" s="417"/>
      <c r="Q475" s="417"/>
      <c r="R475" s="417"/>
      <c r="S475" s="417"/>
      <c r="T475" s="417"/>
      <c r="U475" s="417"/>
      <c r="V475" s="417"/>
      <c r="W475" s="417"/>
      <c r="X475" s="417"/>
      <c r="Y475" s="417"/>
      <c r="Z475" s="417"/>
    </row>
    <row r="476" spans="1:26" ht="15.75">
      <c r="A476" s="417"/>
      <c r="B476" s="417"/>
      <c r="C476" s="417"/>
      <c r="D476" s="417"/>
      <c r="E476" s="417"/>
      <c r="F476" s="417"/>
      <c r="G476" s="417"/>
      <c r="H476" s="417"/>
      <c r="I476" s="417"/>
      <c r="J476" s="417"/>
      <c r="K476" s="417"/>
      <c r="L476" s="417"/>
      <c r="M476" s="417"/>
      <c r="N476" s="417"/>
      <c r="O476" s="417"/>
      <c r="P476" s="417"/>
      <c r="Q476" s="417"/>
      <c r="R476" s="417"/>
      <c r="S476" s="417"/>
      <c r="T476" s="417"/>
      <c r="U476" s="417"/>
      <c r="V476" s="417"/>
      <c r="W476" s="417"/>
      <c r="X476" s="417"/>
      <c r="Y476" s="417"/>
      <c r="Z476" s="417"/>
    </row>
    <row r="477" spans="1:26" ht="15.75">
      <c r="A477" s="417"/>
      <c r="B477" s="417"/>
      <c r="C477" s="417"/>
      <c r="D477" s="417"/>
      <c r="E477" s="417"/>
      <c r="F477" s="417"/>
      <c r="G477" s="417"/>
      <c r="H477" s="417"/>
      <c r="I477" s="417"/>
      <c r="J477" s="417"/>
      <c r="K477" s="417"/>
      <c r="L477" s="417"/>
      <c r="M477" s="417"/>
      <c r="N477" s="417"/>
      <c r="O477" s="417"/>
      <c r="P477" s="417"/>
      <c r="Q477" s="417"/>
      <c r="R477" s="417"/>
      <c r="S477" s="417"/>
      <c r="T477" s="417"/>
      <c r="U477" s="417"/>
      <c r="V477" s="417"/>
      <c r="W477" s="417"/>
      <c r="X477" s="417"/>
      <c r="Y477" s="417"/>
      <c r="Z477" s="417"/>
    </row>
    <row r="478" spans="1:26" ht="15.75">
      <c r="A478" s="417"/>
      <c r="B478" s="417"/>
      <c r="C478" s="417"/>
      <c r="D478" s="417"/>
      <c r="E478" s="417"/>
      <c r="F478" s="417"/>
      <c r="G478" s="417"/>
      <c r="H478" s="417"/>
      <c r="I478" s="417"/>
      <c r="J478" s="417"/>
      <c r="K478" s="417"/>
      <c r="L478" s="417"/>
      <c r="M478" s="417"/>
      <c r="N478" s="417"/>
      <c r="O478" s="417"/>
      <c r="P478" s="417"/>
      <c r="Q478" s="417"/>
      <c r="R478" s="417"/>
      <c r="S478" s="417"/>
      <c r="T478" s="417"/>
      <c r="U478" s="417"/>
      <c r="V478" s="417"/>
      <c r="W478" s="417"/>
      <c r="X478" s="417"/>
      <c r="Y478" s="417"/>
      <c r="Z478" s="417"/>
    </row>
    <row r="479" spans="1:26" ht="15.75">
      <c r="A479" s="417"/>
      <c r="B479" s="417"/>
      <c r="C479" s="417"/>
      <c r="D479" s="417"/>
      <c r="E479" s="417"/>
      <c r="F479" s="417"/>
      <c r="G479" s="417"/>
      <c r="H479" s="417"/>
      <c r="I479" s="417"/>
      <c r="J479" s="417"/>
      <c r="K479" s="417"/>
      <c r="L479" s="417"/>
      <c r="M479" s="417"/>
      <c r="N479" s="417"/>
      <c r="O479" s="417"/>
      <c r="P479" s="417"/>
      <c r="Q479" s="417"/>
      <c r="R479" s="417"/>
      <c r="S479" s="417"/>
      <c r="T479" s="417"/>
      <c r="U479" s="417"/>
      <c r="V479" s="417"/>
      <c r="W479" s="417"/>
      <c r="X479" s="417"/>
      <c r="Y479" s="417"/>
      <c r="Z479" s="417"/>
    </row>
    <row r="480" spans="1:26" ht="15.75">
      <c r="A480" s="417"/>
      <c r="B480" s="417"/>
      <c r="C480" s="417"/>
      <c r="D480" s="417"/>
      <c r="E480" s="417"/>
      <c r="F480" s="417"/>
      <c r="G480" s="417"/>
      <c r="H480" s="417"/>
      <c r="I480" s="417"/>
      <c r="J480" s="417"/>
      <c r="K480" s="417"/>
      <c r="L480" s="417"/>
      <c r="M480" s="417"/>
      <c r="N480" s="417"/>
      <c r="O480" s="417"/>
      <c r="P480" s="417"/>
      <c r="Q480" s="417"/>
      <c r="R480" s="417"/>
      <c r="S480" s="417"/>
      <c r="T480" s="417"/>
      <c r="U480" s="417"/>
      <c r="V480" s="417"/>
      <c r="W480" s="417"/>
      <c r="X480" s="417"/>
      <c r="Y480" s="417"/>
      <c r="Z480" s="417"/>
    </row>
    <row r="481" spans="1:26" ht="15.75">
      <c r="A481" s="417"/>
      <c r="B481" s="417"/>
      <c r="C481" s="417"/>
      <c r="D481" s="417"/>
      <c r="E481" s="417"/>
      <c r="F481" s="417"/>
      <c r="G481" s="417"/>
      <c r="H481" s="417"/>
      <c r="I481" s="417"/>
      <c r="J481" s="417"/>
      <c r="K481" s="417"/>
      <c r="L481" s="417"/>
      <c r="M481" s="417"/>
      <c r="N481" s="417"/>
      <c r="O481" s="417"/>
      <c r="P481" s="417"/>
      <c r="Q481" s="417"/>
      <c r="R481" s="417"/>
      <c r="S481" s="417"/>
      <c r="T481" s="417"/>
      <c r="U481" s="417"/>
      <c r="V481" s="417"/>
      <c r="W481" s="417"/>
      <c r="X481" s="417"/>
      <c r="Y481" s="417"/>
      <c r="Z481" s="417"/>
    </row>
    <row r="482" spans="1:26" ht="15.75">
      <c r="A482" s="417"/>
      <c r="B482" s="417"/>
      <c r="C482" s="417"/>
      <c r="D482" s="417"/>
      <c r="E482" s="417"/>
      <c r="F482" s="417"/>
      <c r="G482" s="417"/>
      <c r="H482" s="417"/>
      <c r="I482" s="417"/>
      <c r="J482" s="417"/>
      <c r="K482" s="417"/>
      <c r="L482" s="417"/>
      <c r="M482" s="417"/>
      <c r="N482" s="417"/>
      <c r="O482" s="417"/>
      <c r="P482" s="417"/>
      <c r="Q482" s="417"/>
      <c r="R482" s="417"/>
      <c r="S482" s="417"/>
      <c r="T482" s="417"/>
      <c r="U482" s="417"/>
      <c r="V482" s="417"/>
      <c r="W482" s="417"/>
      <c r="X482" s="417"/>
      <c r="Y482" s="417"/>
      <c r="Z482" s="417"/>
    </row>
    <row r="483" spans="1:26" ht="15.75">
      <c r="A483" s="417"/>
      <c r="B483" s="417"/>
      <c r="C483" s="417"/>
      <c r="D483" s="417"/>
      <c r="E483" s="417"/>
      <c r="F483" s="417"/>
      <c r="G483" s="417"/>
      <c r="H483" s="417"/>
      <c r="I483" s="417"/>
      <c r="J483" s="417"/>
      <c r="K483" s="417"/>
      <c r="L483" s="417"/>
      <c r="M483" s="417"/>
      <c r="N483" s="417"/>
      <c r="O483" s="417"/>
      <c r="P483" s="417"/>
      <c r="Q483" s="417"/>
      <c r="R483" s="417"/>
      <c r="S483" s="417"/>
      <c r="T483" s="417"/>
      <c r="U483" s="417"/>
      <c r="V483" s="417"/>
      <c r="W483" s="417"/>
      <c r="X483" s="417"/>
      <c r="Y483" s="417"/>
      <c r="Z483" s="417"/>
    </row>
    <row r="484" spans="1:26" ht="15.75">
      <c r="A484" s="417"/>
      <c r="B484" s="417"/>
      <c r="C484" s="417"/>
      <c r="D484" s="417"/>
      <c r="E484" s="417"/>
      <c r="F484" s="417"/>
      <c r="G484" s="417"/>
      <c r="H484" s="417"/>
      <c r="I484" s="417"/>
      <c r="J484" s="417"/>
      <c r="K484" s="417"/>
      <c r="L484" s="417"/>
      <c r="M484" s="417"/>
      <c r="N484" s="417"/>
      <c r="O484" s="417"/>
      <c r="P484" s="417"/>
      <c r="Q484" s="417"/>
      <c r="R484" s="417"/>
      <c r="S484" s="417"/>
      <c r="T484" s="417"/>
      <c r="U484" s="417"/>
      <c r="V484" s="417"/>
      <c r="W484" s="417"/>
      <c r="X484" s="417"/>
      <c r="Y484" s="417"/>
      <c r="Z484" s="417"/>
    </row>
    <row r="485" spans="1:26" ht="15.75">
      <c r="A485" s="417"/>
      <c r="B485" s="417"/>
      <c r="C485" s="417"/>
      <c r="D485" s="417"/>
      <c r="E485" s="417"/>
      <c r="F485" s="417"/>
      <c r="G485" s="417"/>
      <c r="H485" s="417"/>
      <c r="I485" s="417"/>
      <c r="J485" s="417"/>
      <c r="K485" s="417"/>
      <c r="L485" s="417"/>
      <c r="M485" s="417"/>
      <c r="N485" s="417"/>
      <c r="O485" s="417"/>
      <c r="P485" s="417"/>
      <c r="Q485" s="417"/>
      <c r="R485" s="417"/>
      <c r="S485" s="417"/>
      <c r="T485" s="417"/>
      <c r="U485" s="417"/>
      <c r="V485" s="417"/>
      <c r="W485" s="417"/>
      <c r="X485" s="417"/>
      <c r="Y485" s="417"/>
      <c r="Z485" s="417"/>
    </row>
    <row r="486" spans="1:26" ht="15.75">
      <c r="A486" s="417"/>
      <c r="B486" s="417"/>
      <c r="C486" s="417"/>
      <c r="D486" s="417"/>
      <c r="E486" s="417"/>
      <c r="F486" s="417"/>
      <c r="G486" s="417"/>
      <c r="H486" s="417"/>
      <c r="I486" s="417"/>
      <c r="J486" s="417"/>
      <c r="K486" s="417"/>
      <c r="L486" s="417"/>
      <c r="M486" s="417"/>
      <c r="N486" s="417"/>
      <c r="O486" s="417"/>
      <c r="P486" s="417"/>
      <c r="Q486" s="417"/>
      <c r="R486" s="417"/>
      <c r="S486" s="417"/>
      <c r="T486" s="417"/>
      <c r="U486" s="417"/>
      <c r="V486" s="417"/>
      <c r="W486" s="417"/>
      <c r="X486" s="417"/>
      <c r="Y486" s="417"/>
      <c r="Z486" s="417"/>
    </row>
    <row r="487" spans="1:26" ht="15.75">
      <c r="A487" s="417"/>
      <c r="B487" s="417"/>
      <c r="C487" s="417"/>
      <c r="D487" s="417"/>
      <c r="E487" s="417"/>
      <c r="F487" s="417"/>
      <c r="G487" s="417"/>
      <c r="H487" s="417"/>
      <c r="I487" s="417"/>
      <c r="J487" s="417"/>
      <c r="K487" s="417"/>
      <c r="L487" s="417"/>
      <c r="M487" s="417"/>
      <c r="N487" s="417"/>
      <c r="O487" s="417"/>
      <c r="P487" s="417"/>
      <c r="Q487" s="417"/>
      <c r="R487" s="417"/>
      <c r="S487" s="417"/>
      <c r="T487" s="417"/>
      <c r="U487" s="417"/>
      <c r="V487" s="417"/>
      <c r="W487" s="417"/>
      <c r="X487" s="417"/>
      <c r="Y487" s="417"/>
      <c r="Z487" s="417"/>
    </row>
    <row r="488" spans="1:26" ht="15.75">
      <c r="A488" s="417"/>
      <c r="B488" s="417"/>
      <c r="C488" s="417"/>
      <c r="D488" s="417"/>
      <c r="E488" s="417"/>
      <c r="F488" s="417"/>
      <c r="G488" s="417"/>
      <c r="H488" s="417"/>
      <c r="I488" s="417"/>
      <c r="J488" s="417"/>
      <c r="K488" s="417"/>
      <c r="L488" s="417"/>
      <c r="M488" s="417"/>
      <c r="N488" s="417"/>
      <c r="O488" s="417"/>
      <c r="P488" s="417"/>
      <c r="Q488" s="417"/>
      <c r="R488" s="417"/>
      <c r="S488" s="417"/>
      <c r="T488" s="417"/>
      <c r="U488" s="417"/>
      <c r="V488" s="417"/>
      <c r="W488" s="417"/>
      <c r="X488" s="417"/>
      <c r="Y488" s="417"/>
      <c r="Z488" s="417"/>
    </row>
    <row r="489" spans="1:26" ht="15.75">
      <c r="A489" s="417"/>
      <c r="B489" s="417"/>
      <c r="C489" s="417"/>
      <c r="D489" s="417"/>
      <c r="E489" s="417"/>
      <c r="F489" s="417"/>
      <c r="G489" s="417"/>
      <c r="H489" s="417"/>
      <c r="I489" s="417"/>
      <c r="J489" s="417"/>
      <c r="K489" s="417"/>
      <c r="L489" s="417"/>
      <c r="M489" s="417"/>
      <c r="N489" s="417"/>
      <c r="O489" s="417"/>
      <c r="P489" s="417"/>
      <c r="Q489" s="417"/>
      <c r="R489" s="417"/>
      <c r="S489" s="417"/>
      <c r="T489" s="417"/>
      <c r="U489" s="417"/>
      <c r="V489" s="417"/>
      <c r="W489" s="417"/>
      <c r="X489" s="417"/>
      <c r="Y489" s="417"/>
      <c r="Z489" s="417"/>
    </row>
    <row r="490" spans="1:26" ht="15.75">
      <c r="A490" s="417"/>
      <c r="B490" s="417"/>
      <c r="C490" s="417"/>
      <c r="D490" s="417"/>
      <c r="E490" s="417"/>
      <c r="F490" s="417"/>
      <c r="G490" s="417"/>
      <c r="H490" s="417"/>
      <c r="I490" s="417"/>
      <c r="J490" s="417"/>
      <c r="K490" s="417"/>
      <c r="L490" s="417"/>
      <c r="M490" s="417"/>
      <c r="N490" s="417"/>
      <c r="O490" s="417"/>
      <c r="P490" s="417"/>
      <c r="Q490" s="417"/>
      <c r="R490" s="417"/>
      <c r="S490" s="417"/>
      <c r="T490" s="417"/>
      <c r="U490" s="417"/>
      <c r="V490" s="417"/>
      <c r="W490" s="417"/>
      <c r="X490" s="417"/>
      <c r="Y490" s="417"/>
      <c r="Z490" s="417"/>
    </row>
    <row r="491" spans="1:26" ht="15.75">
      <c r="A491" s="417"/>
      <c r="B491" s="417"/>
      <c r="C491" s="417"/>
      <c r="D491" s="417"/>
      <c r="E491" s="417"/>
      <c r="F491" s="417"/>
      <c r="G491" s="417"/>
      <c r="H491" s="417"/>
      <c r="I491" s="417"/>
      <c r="J491" s="417"/>
      <c r="K491" s="417"/>
      <c r="L491" s="417"/>
      <c r="M491" s="417"/>
      <c r="N491" s="417"/>
      <c r="O491" s="417"/>
      <c r="P491" s="417"/>
      <c r="Q491" s="417"/>
      <c r="R491" s="417"/>
      <c r="S491" s="417"/>
      <c r="T491" s="417"/>
      <c r="U491" s="417"/>
      <c r="V491" s="417"/>
      <c r="W491" s="417"/>
      <c r="X491" s="417"/>
      <c r="Y491" s="417"/>
      <c r="Z491" s="417"/>
    </row>
    <row r="492" spans="1:26" ht="15.75">
      <c r="A492" s="417"/>
      <c r="B492" s="417"/>
      <c r="C492" s="417"/>
      <c r="D492" s="417"/>
      <c r="E492" s="417"/>
      <c r="F492" s="417"/>
      <c r="G492" s="417"/>
      <c r="H492" s="417"/>
      <c r="I492" s="417"/>
      <c r="J492" s="417"/>
      <c r="K492" s="417"/>
      <c r="L492" s="417"/>
      <c r="M492" s="417"/>
      <c r="N492" s="417"/>
      <c r="O492" s="417"/>
      <c r="P492" s="417"/>
      <c r="Q492" s="417"/>
      <c r="R492" s="417"/>
      <c r="S492" s="417"/>
      <c r="T492" s="417"/>
      <c r="U492" s="417"/>
      <c r="V492" s="417"/>
      <c r="W492" s="417"/>
      <c r="X492" s="417"/>
      <c r="Y492" s="417"/>
      <c r="Z492" s="417"/>
    </row>
    <row r="493" spans="1:26" ht="15.75">
      <c r="A493" s="417"/>
      <c r="B493" s="417"/>
      <c r="C493" s="417"/>
      <c r="D493" s="417"/>
      <c r="E493" s="417"/>
      <c r="F493" s="417"/>
      <c r="G493" s="417"/>
      <c r="H493" s="417"/>
      <c r="I493" s="417"/>
      <c r="J493" s="417"/>
      <c r="K493" s="417"/>
      <c r="L493" s="417"/>
      <c r="M493" s="417"/>
      <c r="N493" s="417"/>
      <c r="O493" s="417"/>
      <c r="P493" s="417"/>
      <c r="Q493" s="417"/>
      <c r="R493" s="417"/>
      <c r="S493" s="417"/>
      <c r="T493" s="417"/>
      <c r="U493" s="417"/>
      <c r="V493" s="417"/>
      <c r="W493" s="417"/>
      <c r="X493" s="417"/>
      <c r="Y493" s="417"/>
      <c r="Z493" s="417"/>
    </row>
    <row r="494" spans="1:26" ht="15.75">
      <c r="A494" s="417"/>
      <c r="B494" s="417"/>
      <c r="C494" s="417"/>
      <c r="D494" s="417"/>
      <c r="E494" s="417"/>
      <c r="F494" s="417"/>
      <c r="G494" s="417"/>
      <c r="H494" s="417"/>
      <c r="I494" s="417"/>
      <c r="J494" s="417"/>
      <c r="K494" s="417"/>
      <c r="L494" s="417"/>
      <c r="M494" s="417"/>
      <c r="N494" s="417"/>
      <c r="O494" s="417"/>
      <c r="P494" s="417"/>
      <c r="Q494" s="417"/>
      <c r="R494" s="417"/>
      <c r="S494" s="417"/>
      <c r="T494" s="417"/>
      <c r="U494" s="417"/>
      <c r="V494" s="417"/>
      <c r="W494" s="417"/>
      <c r="X494" s="417"/>
      <c r="Y494" s="417"/>
      <c r="Z494" s="417"/>
    </row>
    <row r="495" spans="1:26" ht="15.75">
      <c r="A495" s="417"/>
      <c r="B495" s="417"/>
      <c r="C495" s="417"/>
      <c r="D495" s="417"/>
      <c r="E495" s="417"/>
      <c r="F495" s="417"/>
      <c r="G495" s="417"/>
      <c r="H495" s="417"/>
      <c r="I495" s="417"/>
      <c r="J495" s="417"/>
      <c r="K495" s="417"/>
      <c r="L495" s="417"/>
      <c r="M495" s="417"/>
      <c r="N495" s="417"/>
      <c r="O495" s="417"/>
      <c r="P495" s="417"/>
      <c r="Q495" s="417"/>
      <c r="R495" s="417"/>
      <c r="S495" s="417"/>
      <c r="T495" s="417"/>
      <c r="U495" s="417"/>
      <c r="V495" s="417"/>
      <c r="W495" s="417"/>
      <c r="X495" s="417"/>
      <c r="Y495" s="417"/>
      <c r="Z495" s="417"/>
    </row>
    <row r="496" spans="1:26" ht="15.75">
      <c r="A496" s="417"/>
      <c r="B496" s="417"/>
      <c r="C496" s="417"/>
      <c r="D496" s="417"/>
      <c r="E496" s="417"/>
      <c r="F496" s="417"/>
      <c r="G496" s="417"/>
      <c r="H496" s="417"/>
      <c r="I496" s="417"/>
      <c r="J496" s="417"/>
      <c r="K496" s="417"/>
      <c r="L496" s="417"/>
      <c r="M496" s="417"/>
      <c r="N496" s="417"/>
      <c r="O496" s="417"/>
      <c r="P496" s="417"/>
      <c r="Q496" s="417"/>
      <c r="R496" s="417"/>
      <c r="S496" s="417"/>
      <c r="T496" s="417"/>
      <c r="U496" s="417"/>
      <c r="V496" s="417"/>
      <c r="W496" s="417"/>
      <c r="X496" s="417"/>
      <c r="Y496" s="417"/>
      <c r="Z496" s="417"/>
    </row>
    <row r="497" spans="1:26" ht="15.75">
      <c r="A497" s="417"/>
      <c r="B497" s="417"/>
      <c r="C497" s="417"/>
      <c r="D497" s="417"/>
      <c r="E497" s="417"/>
      <c r="F497" s="417"/>
      <c r="G497" s="417"/>
      <c r="H497" s="417"/>
      <c r="I497" s="417"/>
      <c r="J497" s="417"/>
      <c r="K497" s="417"/>
      <c r="L497" s="417"/>
      <c r="M497" s="417"/>
      <c r="N497" s="417"/>
      <c r="O497" s="417"/>
      <c r="P497" s="417"/>
      <c r="Q497" s="417"/>
      <c r="R497" s="417"/>
      <c r="S497" s="417"/>
      <c r="T497" s="417"/>
      <c r="U497" s="417"/>
      <c r="V497" s="417"/>
      <c r="W497" s="417"/>
      <c r="X497" s="417"/>
      <c r="Y497" s="417"/>
      <c r="Z497" s="417"/>
    </row>
    <row r="498" spans="1:26" ht="15.75">
      <c r="A498" s="417"/>
      <c r="B498" s="417"/>
      <c r="C498" s="417"/>
      <c r="D498" s="417"/>
      <c r="E498" s="417"/>
      <c r="F498" s="417"/>
      <c r="G498" s="417"/>
      <c r="H498" s="417"/>
      <c r="I498" s="417"/>
      <c r="J498" s="417"/>
      <c r="K498" s="417"/>
      <c r="L498" s="417"/>
      <c r="M498" s="417"/>
      <c r="N498" s="417"/>
      <c r="O498" s="417"/>
      <c r="P498" s="417"/>
      <c r="Q498" s="417"/>
      <c r="R498" s="417"/>
      <c r="S498" s="417"/>
      <c r="T498" s="417"/>
      <c r="U498" s="417"/>
      <c r="V498" s="417"/>
      <c r="W498" s="417"/>
      <c r="X498" s="417"/>
      <c r="Y498" s="417"/>
      <c r="Z498" s="417"/>
    </row>
    <row r="499" spans="1:26" ht="15.75">
      <c r="A499" s="417"/>
      <c r="B499" s="417"/>
      <c r="C499" s="417"/>
      <c r="D499" s="417"/>
      <c r="E499" s="417"/>
      <c r="F499" s="417"/>
      <c r="G499" s="417"/>
      <c r="H499" s="417"/>
      <c r="I499" s="417"/>
      <c r="J499" s="417"/>
      <c r="K499" s="417"/>
      <c r="L499" s="417"/>
      <c r="M499" s="417"/>
      <c r="N499" s="417"/>
      <c r="O499" s="417"/>
      <c r="P499" s="417"/>
      <c r="Q499" s="417"/>
      <c r="R499" s="417"/>
      <c r="S499" s="417"/>
      <c r="T499" s="417"/>
      <c r="U499" s="417"/>
      <c r="V499" s="417"/>
      <c r="W499" s="417"/>
      <c r="X499" s="417"/>
      <c r="Y499" s="417"/>
      <c r="Z499" s="417"/>
    </row>
    <row r="500" spans="1:26" ht="15.75">
      <c r="A500" s="417"/>
      <c r="B500" s="417"/>
      <c r="C500" s="417"/>
      <c r="D500" s="417"/>
      <c r="E500" s="417"/>
      <c r="F500" s="417"/>
      <c r="G500" s="417"/>
      <c r="H500" s="417"/>
      <c r="I500" s="417"/>
      <c r="J500" s="417"/>
      <c r="K500" s="417"/>
      <c r="L500" s="417"/>
      <c r="M500" s="417"/>
      <c r="N500" s="417"/>
      <c r="O500" s="417"/>
      <c r="P500" s="417"/>
      <c r="Q500" s="417"/>
      <c r="R500" s="417"/>
      <c r="S500" s="417"/>
      <c r="T500" s="417"/>
      <c r="U500" s="417"/>
      <c r="V500" s="417"/>
      <c r="W500" s="417"/>
      <c r="X500" s="417"/>
      <c r="Y500" s="417"/>
      <c r="Z500" s="417"/>
    </row>
    <row r="501" spans="1:26" ht="15.75">
      <c r="A501" s="417"/>
      <c r="B501" s="417"/>
      <c r="C501" s="417"/>
      <c r="D501" s="417"/>
      <c r="E501" s="417"/>
      <c r="F501" s="417"/>
      <c r="G501" s="417"/>
      <c r="H501" s="417"/>
      <c r="I501" s="417"/>
      <c r="J501" s="417"/>
      <c r="K501" s="417"/>
      <c r="L501" s="417"/>
      <c r="M501" s="417"/>
      <c r="N501" s="417"/>
      <c r="O501" s="417"/>
      <c r="P501" s="417"/>
      <c r="Q501" s="417"/>
      <c r="R501" s="417"/>
      <c r="S501" s="417"/>
      <c r="T501" s="417"/>
      <c r="U501" s="417"/>
      <c r="V501" s="417"/>
      <c r="W501" s="417"/>
      <c r="X501" s="417"/>
      <c r="Y501" s="417"/>
      <c r="Z501" s="417"/>
    </row>
    <row r="502" spans="1:26" ht="15.75">
      <c r="A502" s="417"/>
      <c r="B502" s="417"/>
      <c r="C502" s="417"/>
      <c r="D502" s="417"/>
      <c r="E502" s="417"/>
      <c r="F502" s="417"/>
      <c r="G502" s="417"/>
      <c r="H502" s="417"/>
      <c r="I502" s="417"/>
      <c r="J502" s="417"/>
      <c r="K502" s="417"/>
      <c r="L502" s="417"/>
      <c r="M502" s="417"/>
      <c r="N502" s="417"/>
      <c r="O502" s="417"/>
      <c r="P502" s="417"/>
      <c r="Q502" s="417"/>
      <c r="R502" s="417"/>
      <c r="S502" s="417"/>
      <c r="T502" s="417"/>
      <c r="U502" s="417"/>
      <c r="V502" s="417"/>
      <c r="W502" s="417"/>
      <c r="X502" s="417"/>
      <c r="Y502" s="417"/>
      <c r="Z502" s="417"/>
    </row>
    <row r="503" spans="1:26" ht="15.75">
      <c r="A503" s="417"/>
      <c r="B503" s="417"/>
      <c r="C503" s="417"/>
      <c r="D503" s="417"/>
      <c r="E503" s="417"/>
      <c r="F503" s="417"/>
      <c r="G503" s="417"/>
      <c r="H503" s="417"/>
      <c r="I503" s="417"/>
      <c r="J503" s="417"/>
      <c r="K503" s="417"/>
      <c r="L503" s="417"/>
      <c r="M503" s="417"/>
      <c r="N503" s="417"/>
      <c r="O503" s="417"/>
      <c r="P503" s="417"/>
      <c r="Q503" s="417"/>
      <c r="R503" s="417"/>
      <c r="S503" s="417"/>
      <c r="T503" s="417"/>
      <c r="U503" s="417"/>
      <c r="V503" s="417"/>
      <c r="W503" s="417"/>
      <c r="X503" s="417"/>
      <c r="Y503" s="417"/>
      <c r="Z503" s="417"/>
    </row>
    <row r="504" spans="1:26" ht="15.75">
      <c r="A504" s="417"/>
      <c r="B504" s="417"/>
      <c r="C504" s="417"/>
      <c r="D504" s="417"/>
      <c r="E504" s="417"/>
      <c r="F504" s="417"/>
      <c r="G504" s="417"/>
      <c r="H504" s="417"/>
      <c r="I504" s="417"/>
      <c r="J504" s="417"/>
      <c r="K504" s="417"/>
      <c r="L504" s="417"/>
      <c r="M504" s="417"/>
      <c r="N504" s="417"/>
      <c r="O504" s="417"/>
      <c r="P504" s="417"/>
      <c r="Q504" s="417"/>
      <c r="R504" s="417"/>
      <c r="S504" s="417"/>
      <c r="T504" s="417"/>
      <c r="U504" s="417"/>
      <c r="V504" s="417"/>
      <c r="W504" s="417"/>
      <c r="X504" s="417"/>
      <c r="Y504" s="417"/>
      <c r="Z504" s="417"/>
    </row>
    <row r="505" spans="1:26" ht="15.75">
      <c r="A505" s="417"/>
      <c r="B505" s="417"/>
      <c r="C505" s="417"/>
      <c r="D505" s="417"/>
      <c r="E505" s="417"/>
      <c r="F505" s="417"/>
      <c r="G505" s="417"/>
      <c r="H505" s="417"/>
      <c r="I505" s="417"/>
      <c r="J505" s="417"/>
      <c r="K505" s="417"/>
      <c r="L505" s="417"/>
      <c r="M505" s="417"/>
      <c r="N505" s="417"/>
      <c r="O505" s="417"/>
      <c r="P505" s="417"/>
      <c r="Q505" s="417"/>
      <c r="R505" s="417"/>
      <c r="S505" s="417"/>
      <c r="T505" s="417"/>
      <c r="U505" s="417"/>
      <c r="V505" s="417"/>
      <c r="W505" s="417"/>
      <c r="X505" s="417"/>
      <c r="Y505" s="417"/>
      <c r="Z505" s="417"/>
    </row>
    <row r="506" spans="1:26" ht="15.75">
      <c r="A506" s="417"/>
      <c r="B506" s="417"/>
      <c r="C506" s="417"/>
      <c r="D506" s="417"/>
      <c r="E506" s="417"/>
      <c r="F506" s="417"/>
      <c r="G506" s="417"/>
      <c r="H506" s="417"/>
      <c r="I506" s="417"/>
      <c r="J506" s="417"/>
      <c r="K506" s="417"/>
      <c r="L506" s="417"/>
      <c r="M506" s="417"/>
      <c r="N506" s="417"/>
      <c r="O506" s="417"/>
      <c r="P506" s="417"/>
      <c r="Q506" s="417"/>
      <c r="R506" s="417"/>
      <c r="S506" s="417"/>
      <c r="T506" s="417"/>
      <c r="U506" s="417"/>
      <c r="V506" s="417"/>
      <c r="W506" s="417"/>
      <c r="X506" s="417"/>
      <c r="Y506" s="417"/>
      <c r="Z506" s="417"/>
    </row>
    <row r="507" spans="1:26" ht="15.75">
      <c r="A507" s="417"/>
      <c r="B507" s="417"/>
      <c r="C507" s="417"/>
      <c r="D507" s="417"/>
      <c r="E507" s="417"/>
      <c r="F507" s="417"/>
      <c r="G507" s="417"/>
      <c r="H507" s="417"/>
      <c r="I507" s="417"/>
      <c r="J507" s="417"/>
      <c r="K507" s="417"/>
      <c r="L507" s="417"/>
      <c r="M507" s="417"/>
      <c r="N507" s="417"/>
      <c r="O507" s="417"/>
      <c r="P507" s="417"/>
      <c r="Q507" s="417"/>
      <c r="R507" s="417"/>
      <c r="S507" s="417"/>
      <c r="T507" s="417"/>
      <c r="U507" s="417"/>
      <c r="V507" s="417"/>
      <c r="W507" s="417"/>
      <c r="X507" s="417"/>
      <c r="Y507" s="417"/>
      <c r="Z507" s="417"/>
    </row>
    <row r="508" spans="1:26" ht="15.75">
      <c r="A508" s="417"/>
      <c r="B508" s="417"/>
      <c r="C508" s="417"/>
      <c r="D508" s="417"/>
      <c r="E508" s="417"/>
      <c r="F508" s="417"/>
      <c r="G508" s="417"/>
      <c r="H508" s="417"/>
      <c r="I508" s="417"/>
      <c r="J508" s="417"/>
      <c r="K508" s="417"/>
      <c r="L508" s="417"/>
      <c r="M508" s="417"/>
      <c r="N508" s="417"/>
      <c r="O508" s="417"/>
      <c r="P508" s="417"/>
      <c r="Q508" s="417"/>
      <c r="R508" s="417"/>
      <c r="S508" s="417"/>
      <c r="T508" s="417"/>
      <c r="U508" s="417"/>
      <c r="V508" s="417"/>
      <c r="W508" s="417"/>
      <c r="X508" s="417"/>
      <c r="Y508" s="417"/>
      <c r="Z508" s="417"/>
    </row>
    <row r="509" spans="1:26" ht="15.75">
      <c r="A509" s="417"/>
      <c r="B509" s="417"/>
      <c r="C509" s="417"/>
      <c r="D509" s="417"/>
      <c r="E509" s="417"/>
      <c r="F509" s="417"/>
      <c r="G509" s="417"/>
      <c r="H509" s="417"/>
      <c r="I509" s="417"/>
      <c r="J509" s="417"/>
      <c r="K509" s="417"/>
      <c r="L509" s="417"/>
      <c r="M509" s="417"/>
      <c r="N509" s="417"/>
      <c r="O509" s="417"/>
      <c r="P509" s="417"/>
      <c r="Q509" s="417"/>
      <c r="R509" s="417"/>
      <c r="S509" s="417"/>
      <c r="T509" s="417"/>
      <c r="U509" s="417"/>
      <c r="V509" s="417"/>
      <c r="W509" s="417"/>
      <c r="X509" s="417"/>
      <c r="Y509" s="417"/>
      <c r="Z509" s="417"/>
    </row>
    <row r="510" spans="1:26" ht="15.75">
      <c r="A510" s="417"/>
      <c r="B510" s="417"/>
      <c r="C510" s="417"/>
      <c r="D510" s="417"/>
      <c r="E510" s="417"/>
      <c r="F510" s="417"/>
      <c r="G510" s="417"/>
      <c r="H510" s="417"/>
      <c r="I510" s="417"/>
      <c r="J510" s="417"/>
      <c r="K510" s="417"/>
      <c r="L510" s="417"/>
      <c r="M510" s="417"/>
      <c r="N510" s="417"/>
      <c r="O510" s="417"/>
      <c r="P510" s="417"/>
      <c r="Q510" s="417"/>
      <c r="R510" s="417"/>
      <c r="S510" s="417"/>
      <c r="T510" s="417"/>
      <c r="U510" s="417"/>
      <c r="V510" s="417"/>
      <c r="W510" s="417"/>
      <c r="X510" s="417"/>
      <c r="Y510" s="417"/>
      <c r="Z510" s="417"/>
    </row>
    <row r="511" spans="1:26" ht="15.75">
      <c r="A511" s="417"/>
      <c r="B511" s="417"/>
      <c r="C511" s="417"/>
      <c r="D511" s="417"/>
      <c r="E511" s="417"/>
      <c r="F511" s="417"/>
      <c r="G511" s="417"/>
      <c r="H511" s="417"/>
      <c r="I511" s="417"/>
      <c r="J511" s="417"/>
      <c r="K511" s="417"/>
      <c r="L511" s="417"/>
      <c r="M511" s="417"/>
      <c r="N511" s="417"/>
      <c r="O511" s="417"/>
      <c r="P511" s="417"/>
      <c r="Q511" s="417"/>
      <c r="R511" s="417"/>
      <c r="S511" s="417"/>
      <c r="T511" s="417"/>
      <c r="U511" s="417"/>
      <c r="V511" s="417"/>
      <c r="W511" s="417"/>
      <c r="X511" s="417"/>
      <c r="Y511" s="417"/>
      <c r="Z511" s="417"/>
    </row>
    <row r="512" spans="1:26" ht="15.75">
      <c r="A512" s="417"/>
      <c r="B512" s="417"/>
      <c r="C512" s="417"/>
      <c r="D512" s="417"/>
      <c r="E512" s="417"/>
      <c r="F512" s="417"/>
      <c r="G512" s="417"/>
      <c r="H512" s="417"/>
      <c r="I512" s="417"/>
      <c r="J512" s="417"/>
      <c r="K512" s="417"/>
      <c r="L512" s="417"/>
      <c r="M512" s="417"/>
      <c r="N512" s="417"/>
      <c r="O512" s="417"/>
      <c r="P512" s="417"/>
      <c r="Q512" s="417"/>
      <c r="R512" s="417"/>
      <c r="S512" s="417"/>
      <c r="T512" s="417"/>
      <c r="U512" s="417"/>
      <c r="V512" s="417"/>
      <c r="W512" s="417"/>
      <c r="X512" s="417"/>
      <c r="Y512" s="417"/>
      <c r="Z512" s="417"/>
    </row>
    <row r="513" spans="1:26" ht="15.75">
      <c r="A513" s="417"/>
      <c r="B513" s="417"/>
      <c r="C513" s="417"/>
      <c r="D513" s="417"/>
      <c r="E513" s="417"/>
      <c r="F513" s="417"/>
      <c r="G513" s="417"/>
      <c r="H513" s="417"/>
      <c r="I513" s="417"/>
      <c r="J513" s="417"/>
      <c r="K513" s="417"/>
      <c r="L513" s="417"/>
      <c r="M513" s="417"/>
      <c r="N513" s="417"/>
      <c r="O513" s="417"/>
      <c r="P513" s="417"/>
      <c r="Q513" s="417"/>
      <c r="R513" s="417"/>
      <c r="S513" s="417"/>
      <c r="T513" s="417"/>
      <c r="U513" s="417"/>
      <c r="V513" s="417"/>
      <c r="W513" s="417"/>
      <c r="X513" s="417"/>
      <c r="Y513" s="417"/>
      <c r="Z513" s="417"/>
    </row>
    <row r="514" spans="1:26" ht="15.75">
      <c r="A514" s="417"/>
      <c r="B514" s="417"/>
      <c r="C514" s="417"/>
      <c r="D514" s="417"/>
      <c r="E514" s="417"/>
      <c r="F514" s="417"/>
      <c r="G514" s="417"/>
      <c r="H514" s="417"/>
      <c r="I514" s="417"/>
      <c r="J514" s="417"/>
      <c r="K514" s="417"/>
      <c r="L514" s="417"/>
      <c r="M514" s="417"/>
      <c r="N514" s="417"/>
      <c r="O514" s="417"/>
      <c r="P514" s="417"/>
      <c r="Q514" s="417"/>
      <c r="R514" s="417"/>
      <c r="S514" s="417"/>
      <c r="T514" s="417"/>
      <c r="U514" s="417"/>
      <c r="V514" s="417"/>
      <c r="W514" s="417"/>
      <c r="X514" s="417"/>
      <c r="Y514" s="417"/>
      <c r="Z514" s="417"/>
    </row>
    <row r="515" spans="1:26" ht="15.75">
      <c r="A515" s="417"/>
      <c r="B515" s="417"/>
      <c r="C515" s="417"/>
      <c r="D515" s="417"/>
      <c r="E515" s="417"/>
      <c r="F515" s="417"/>
      <c r="G515" s="417"/>
      <c r="H515" s="417"/>
      <c r="I515" s="417"/>
      <c r="J515" s="417"/>
      <c r="K515" s="417"/>
      <c r="L515" s="417"/>
      <c r="M515" s="417"/>
      <c r="N515" s="417"/>
      <c r="O515" s="417"/>
      <c r="P515" s="417"/>
      <c r="Q515" s="417"/>
      <c r="R515" s="417"/>
      <c r="S515" s="417"/>
      <c r="T515" s="417"/>
      <c r="U515" s="417"/>
      <c r="V515" s="417"/>
      <c r="W515" s="417"/>
      <c r="X515" s="417"/>
      <c r="Y515" s="417"/>
      <c r="Z515" s="417"/>
    </row>
    <row r="516" spans="1:26" ht="15.75">
      <c r="A516" s="417"/>
      <c r="B516" s="417"/>
      <c r="C516" s="417"/>
      <c r="D516" s="417"/>
      <c r="E516" s="417"/>
      <c r="F516" s="417"/>
      <c r="G516" s="417"/>
      <c r="H516" s="417"/>
      <c r="I516" s="417"/>
      <c r="J516" s="417"/>
      <c r="K516" s="417"/>
      <c r="L516" s="417"/>
      <c r="M516" s="417"/>
      <c r="N516" s="417"/>
      <c r="O516" s="417"/>
      <c r="P516" s="417"/>
      <c r="Q516" s="417"/>
      <c r="R516" s="417"/>
      <c r="S516" s="417"/>
      <c r="T516" s="417"/>
      <c r="U516" s="417"/>
      <c r="V516" s="417"/>
      <c r="W516" s="417"/>
      <c r="X516" s="417"/>
      <c r="Y516" s="417"/>
      <c r="Z516" s="417"/>
    </row>
    <row r="517" spans="1:26" ht="15.75">
      <c r="A517" s="417"/>
      <c r="B517" s="417"/>
      <c r="C517" s="417"/>
      <c r="D517" s="417"/>
      <c r="E517" s="417"/>
      <c r="F517" s="417"/>
      <c r="G517" s="417"/>
      <c r="H517" s="417"/>
      <c r="I517" s="417"/>
      <c r="J517" s="417"/>
      <c r="K517" s="417"/>
      <c r="L517" s="417"/>
      <c r="M517" s="417"/>
      <c r="N517" s="417"/>
      <c r="O517" s="417"/>
      <c r="P517" s="417"/>
      <c r="Q517" s="417"/>
      <c r="R517" s="417"/>
      <c r="S517" s="417"/>
      <c r="T517" s="417"/>
      <c r="U517" s="417"/>
      <c r="V517" s="417"/>
      <c r="W517" s="417"/>
      <c r="X517" s="417"/>
      <c r="Y517" s="417"/>
      <c r="Z517" s="417"/>
    </row>
    <row r="518" spans="1:26" ht="15.75">
      <c r="A518" s="417"/>
      <c r="B518" s="417"/>
      <c r="C518" s="417"/>
      <c r="D518" s="417"/>
      <c r="E518" s="417"/>
      <c r="F518" s="417"/>
      <c r="G518" s="417"/>
      <c r="H518" s="417"/>
      <c r="I518" s="417"/>
      <c r="J518" s="417"/>
      <c r="K518" s="417"/>
      <c r="L518" s="417"/>
      <c r="M518" s="417"/>
      <c r="N518" s="417"/>
      <c r="O518" s="417"/>
      <c r="P518" s="417"/>
      <c r="Q518" s="417"/>
      <c r="R518" s="417"/>
      <c r="S518" s="417"/>
      <c r="T518" s="417"/>
      <c r="U518" s="417"/>
      <c r="V518" s="417"/>
      <c r="W518" s="417"/>
      <c r="X518" s="417"/>
      <c r="Y518" s="417"/>
      <c r="Z518" s="417"/>
    </row>
    <row r="519" spans="1:26" ht="15.75">
      <c r="A519" s="417"/>
      <c r="B519" s="417"/>
      <c r="C519" s="417"/>
      <c r="D519" s="417"/>
      <c r="E519" s="417"/>
      <c r="F519" s="417"/>
      <c r="G519" s="417"/>
      <c r="H519" s="417"/>
      <c r="I519" s="417"/>
      <c r="J519" s="417"/>
      <c r="K519" s="417"/>
      <c r="L519" s="417"/>
      <c r="M519" s="417"/>
      <c r="N519" s="417"/>
      <c r="O519" s="417"/>
      <c r="P519" s="417"/>
      <c r="Q519" s="417"/>
      <c r="R519" s="417"/>
      <c r="S519" s="417"/>
      <c r="T519" s="417"/>
      <c r="U519" s="417"/>
      <c r="V519" s="417"/>
      <c r="W519" s="417"/>
      <c r="X519" s="417"/>
      <c r="Y519" s="417"/>
      <c r="Z519" s="417"/>
    </row>
    <row r="520" spans="1:26" ht="15.75">
      <c r="A520" s="417"/>
      <c r="B520" s="417"/>
      <c r="C520" s="417"/>
      <c r="D520" s="417"/>
      <c r="E520" s="417"/>
      <c r="F520" s="417"/>
      <c r="G520" s="417"/>
      <c r="H520" s="417"/>
      <c r="I520" s="417"/>
      <c r="J520" s="417"/>
      <c r="K520" s="417"/>
      <c r="L520" s="417"/>
      <c r="M520" s="417"/>
      <c r="N520" s="417"/>
      <c r="O520" s="417"/>
      <c r="P520" s="417"/>
      <c r="Q520" s="417"/>
      <c r="R520" s="417"/>
      <c r="S520" s="417"/>
      <c r="T520" s="417"/>
      <c r="U520" s="417"/>
      <c r="V520" s="417"/>
      <c r="W520" s="417"/>
      <c r="X520" s="417"/>
      <c r="Y520" s="417"/>
      <c r="Z520" s="417"/>
    </row>
    <row r="521" spans="1:26" ht="15.75">
      <c r="A521" s="417"/>
      <c r="B521" s="417"/>
      <c r="C521" s="417"/>
      <c r="D521" s="417"/>
      <c r="E521" s="417"/>
      <c r="F521" s="417"/>
      <c r="G521" s="417"/>
      <c r="H521" s="417"/>
      <c r="I521" s="417"/>
      <c r="J521" s="417"/>
      <c r="K521" s="417"/>
      <c r="L521" s="417"/>
      <c r="M521" s="417"/>
      <c r="N521" s="417"/>
      <c r="O521" s="417"/>
      <c r="P521" s="417"/>
      <c r="Q521" s="417"/>
      <c r="R521" s="417"/>
      <c r="S521" s="417"/>
      <c r="T521" s="417"/>
      <c r="U521" s="417"/>
      <c r="V521" s="417"/>
      <c r="W521" s="417"/>
      <c r="X521" s="417"/>
      <c r="Y521" s="417"/>
      <c r="Z521" s="417"/>
    </row>
    <row r="522" spans="1:26" ht="15.75">
      <c r="A522" s="417"/>
      <c r="B522" s="417"/>
      <c r="C522" s="417"/>
      <c r="D522" s="417"/>
      <c r="E522" s="417"/>
      <c r="F522" s="417"/>
      <c r="G522" s="417"/>
      <c r="H522" s="417"/>
      <c r="I522" s="417"/>
      <c r="J522" s="417"/>
      <c r="K522" s="417"/>
      <c r="L522" s="417"/>
      <c r="M522" s="417"/>
      <c r="N522" s="417"/>
      <c r="O522" s="417"/>
      <c r="P522" s="417"/>
      <c r="Q522" s="417"/>
      <c r="R522" s="417"/>
      <c r="S522" s="417"/>
      <c r="T522" s="417"/>
      <c r="U522" s="417"/>
      <c r="V522" s="417"/>
      <c r="W522" s="417"/>
      <c r="X522" s="417"/>
      <c r="Y522" s="417"/>
      <c r="Z522" s="417"/>
    </row>
    <row r="523" spans="1:26" ht="15.75">
      <c r="A523" s="417"/>
      <c r="B523" s="417"/>
      <c r="C523" s="417"/>
      <c r="D523" s="417"/>
      <c r="E523" s="417"/>
      <c r="F523" s="417"/>
      <c r="G523" s="417"/>
      <c r="H523" s="417"/>
      <c r="I523" s="417"/>
      <c r="J523" s="417"/>
      <c r="K523" s="417"/>
      <c r="L523" s="417"/>
      <c r="M523" s="417"/>
      <c r="N523" s="417"/>
      <c r="O523" s="417"/>
      <c r="P523" s="417"/>
      <c r="Q523" s="417"/>
      <c r="R523" s="417"/>
      <c r="S523" s="417"/>
      <c r="T523" s="417"/>
      <c r="U523" s="417"/>
      <c r="V523" s="417"/>
      <c r="W523" s="417"/>
      <c r="X523" s="417"/>
      <c r="Y523" s="417"/>
      <c r="Z523" s="417"/>
    </row>
    <row r="524" spans="1:26" ht="15.75">
      <c r="A524" s="417"/>
      <c r="B524" s="417"/>
      <c r="C524" s="417"/>
      <c r="D524" s="417"/>
      <c r="E524" s="417"/>
      <c r="F524" s="417"/>
      <c r="G524" s="417"/>
      <c r="H524" s="417"/>
      <c r="I524" s="417"/>
      <c r="J524" s="417"/>
      <c r="K524" s="417"/>
      <c r="L524" s="417"/>
      <c r="M524" s="417"/>
      <c r="N524" s="417"/>
      <c r="O524" s="417"/>
      <c r="P524" s="417"/>
      <c r="Q524" s="417"/>
      <c r="R524" s="417"/>
      <c r="S524" s="417"/>
      <c r="T524" s="417"/>
      <c r="U524" s="417"/>
      <c r="V524" s="417"/>
      <c r="W524" s="417"/>
      <c r="X524" s="417"/>
      <c r="Y524" s="417"/>
      <c r="Z524" s="417"/>
    </row>
    <row r="525" spans="1:26" ht="15.75">
      <c r="A525" s="417"/>
      <c r="B525" s="417"/>
      <c r="C525" s="417"/>
      <c r="D525" s="417"/>
      <c r="E525" s="417"/>
      <c r="F525" s="417"/>
      <c r="G525" s="417"/>
      <c r="H525" s="417"/>
      <c r="I525" s="417"/>
      <c r="J525" s="417"/>
      <c r="K525" s="417"/>
      <c r="L525" s="417"/>
      <c r="M525" s="417"/>
      <c r="N525" s="417"/>
      <c r="O525" s="417"/>
      <c r="P525" s="417"/>
      <c r="Q525" s="417"/>
      <c r="R525" s="417"/>
      <c r="S525" s="417"/>
      <c r="T525" s="417"/>
      <c r="U525" s="417"/>
      <c r="V525" s="417"/>
      <c r="W525" s="417"/>
      <c r="X525" s="417"/>
      <c r="Y525" s="417"/>
      <c r="Z525" s="417"/>
    </row>
    <row r="526" spans="1:26" ht="15.75">
      <c r="A526" s="417"/>
      <c r="B526" s="417"/>
      <c r="C526" s="417"/>
      <c r="D526" s="417"/>
      <c r="E526" s="417"/>
      <c r="F526" s="417"/>
      <c r="G526" s="417"/>
      <c r="H526" s="417"/>
      <c r="I526" s="417"/>
      <c r="J526" s="417"/>
      <c r="K526" s="417"/>
      <c r="L526" s="417"/>
      <c r="M526" s="417"/>
      <c r="N526" s="417"/>
      <c r="O526" s="417"/>
      <c r="P526" s="417"/>
      <c r="Q526" s="417"/>
      <c r="R526" s="417"/>
      <c r="S526" s="417"/>
      <c r="T526" s="417"/>
      <c r="U526" s="417"/>
      <c r="V526" s="417"/>
      <c r="W526" s="417"/>
      <c r="X526" s="417"/>
      <c r="Y526" s="417"/>
      <c r="Z526" s="417"/>
    </row>
    <row r="527" spans="1:26" ht="15.75">
      <c r="A527" s="417"/>
      <c r="B527" s="417"/>
      <c r="C527" s="417"/>
      <c r="D527" s="417"/>
      <c r="E527" s="417"/>
      <c r="F527" s="417"/>
      <c r="G527" s="417"/>
      <c r="H527" s="417"/>
      <c r="I527" s="417"/>
      <c r="J527" s="417"/>
      <c r="K527" s="417"/>
      <c r="L527" s="417"/>
      <c r="M527" s="417"/>
      <c r="N527" s="417"/>
      <c r="O527" s="417"/>
      <c r="P527" s="417"/>
      <c r="Q527" s="417"/>
      <c r="R527" s="417"/>
      <c r="S527" s="417"/>
      <c r="T527" s="417"/>
      <c r="U527" s="417"/>
      <c r="V527" s="417"/>
      <c r="W527" s="417"/>
      <c r="X527" s="417"/>
      <c r="Y527" s="417"/>
      <c r="Z527" s="417"/>
    </row>
    <row r="528" spans="1:26" ht="15.75">
      <c r="A528" s="417"/>
      <c r="B528" s="417"/>
      <c r="C528" s="417"/>
      <c r="D528" s="417"/>
      <c r="E528" s="417"/>
      <c r="F528" s="417"/>
      <c r="G528" s="417"/>
      <c r="H528" s="417"/>
      <c r="I528" s="417"/>
      <c r="J528" s="417"/>
      <c r="K528" s="417"/>
      <c r="L528" s="417"/>
      <c r="M528" s="417"/>
      <c r="N528" s="417"/>
      <c r="O528" s="417"/>
      <c r="P528" s="417"/>
      <c r="Q528" s="417"/>
      <c r="R528" s="417"/>
      <c r="S528" s="417"/>
      <c r="T528" s="417"/>
      <c r="U528" s="417"/>
      <c r="V528" s="417"/>
      <c r="W528" s="417"/>
      <c r="X528" s="417"/>
      <c r="Y528" s="417"/>
      <c r="Z528" s="417"/>
    </row>
    <row r="529" spans="1:26" ht="15.75">
      <c r="A529" s="417"/>
      <c r="B529" s="417"/>
      <c r="C529" s="417"/>
      <c r="D529" s="417"/>
      <c r="E529" s="417"/>
      <c r="F529" s="417"/>
      <c r="G529" s="417"/>
      <c r="H529" s="417"/>
      <c r="I529" s="417"/>
      <c r="J529" s="417"/>
      <c r="K529" s="417"/>
      <c r="L529" s="417"/>
      <c r="M529" s="417"/>
      <c r="N529" s="417"/>
      <c r="O529" s="417"/>
      <c r="P529" s="417"/>
      <c r="Q529" s="417"/>
      <c r="R529" s="417"/>
      <c r="S529" s="417"/>
      <c r="T529" s="417"/>
      <c r="U529" s="417"/>
      <c r="V529" s="417"/>
      <c r="W529" s="417"/>
      <c r="X529" s="417"/>
      <c r="Y529" s="417"/>
      <c r="Z529" s="417"/>
    </row>
    <row r="530" spans="1:26" ht="15.75">
      <c r="A530" s="417"/>
      <c r="B530" s="417"/>
      <c r="C530" s="417"/>
      <c r="D530" s="417"/>
      <c r="E530" s="417"/>
      <c r="F530" s="417"/>
      <c r="G530" s="417"/>
      <c r="H530" s="417"/>
      <c r="I530" s="417"/>
      <c r="J530" s="417"/>
      <c r="K530" s="417"/>
      <c r="L530" s="417"/>
      <c r="M530" s="417"/>
      <c r="N530" s="417"/>
      <c r="O530" s="417"/>
      <c r="P530" s="417"/>
      <c r="Q530" s="417"/>
      <c r="R530" s="417"/>
      <c r="S530" s="417"/>
      <c r="T530" s="417"/>
      <c r="U530" s="417"/>
      <c r="V530" s="417"/>
      <c r="W530" s="417"/>
      <c r="X530" s="417"/>
      <c r="Y530" s="417"/>
      <c r="Z530" s="417"/>
    </row>
    <row r="531" spans="1:26" ht="15.75">
      <c r="A531" s="417"/>
      <c r="B531" s="417"/>
      <c r="C531" s="417"/>
      <c r="D531" s="417"/>
      <c r="E531" s="417"/>
      <c r="F531" s="417"/>
      <c r="G531" s="417"/>
      <c r="H531" s="417"/>
      <c r="I531" s="417"/>
      <c r="J531" s="417"/>
      <c r="K531" s="417"/>
      <c r="L531" s="417"/>
      <c r="M531" s="417"/>
      <c r="N531" s="417"/>
      <c r="O531" s="417"/>
      <c r="P531" s="417"/>
      <c r="Q531" s="417"/>
      <c r="R531" s="417"/>
      <c r="S531" s="417"/>
      <c r="T531" s="417"/>
      <c r="U531" s="417"/>
      <c r="V531" s="417"/>
      <c r="W531" s="417"/>
      <c r="X531" s="417"/>
      <c r="Y531" s="417"/>
      <c r="Z531" s="417"/>
    </row>
    <row r="532" spans="1:26" ht="15.75">
      <c r="A532" s="417"/>
      <c r="B532" s="417"/>
      <c r="C532" s="417"/>
      <c r="D532" s="417"/>
      <c r="E532" s="417"/>
      <c r="F532" s="417"/>
      <c r="G532" s="417"/>
      <c r="H532" s="417"/>
      <c r="I532" s="417"/>
      <c r="J532" s="417"/>
      <c r="K532" s="417"/>
      <c r="L532" s="417"/>
      <c r="M532" s="417"/>
      <c r="N532" s="417"/>
      <c r="O532" s="417"/>
      <c r="P532" s="417"/>
      <c r="Q532" s="417"/>
      <c r="R532" s="417"/>
      <c r="S532" s="417"/>
      <c r="T532" s="417"/>
      <c r="U532" s="417"/>
      <c r="V532" s="417"/>
      <c r="W532" s="417"/>
      <c r="X532" s="417"/>
      <c r="Y532" s="417"/>
      <c r="Z532" s="417"/>
    </row>
    <row r="533" spans="1:26" ht="15.75">
      <c r="A533" s="417"/>
      <c r="B533" s="417"/>
      <c r="C533" s="417"/>
      <c r="D533" s="417"/>
      <c r="E533" s="417"/>
      <c r="F533" s="417"/>
      <c r="G533" s="417"/>
      <c r="H533" s="417"/>
      <c r="I533" s="417"/>
      <c r="J533" s="417"/>
      <c r="K533" s="417"/>
      <c r="L533" s="417"/>
      <c r="M533" s="417"/>
      <c r="N533" s="417"/>
      <c r="O533" s="417"/>
      <c r="P533" s="417"/>
      <c r="Q533" s="417"/>
      <c r="R533" s="417"/>
      <c r="S533" s="417"/>
      <c r="T533" s="417"/>
      <c r="U533" s="417"/>
      <c r="V533" s="417"/>
      <c r="W533" s="417"/>
      <c r="X533" s="417"/>
      <c r="Y533" s="417"/>
      <c r="Z533" s="417"/>
    </row>
    <row r="534" spans="1:26" ht="15.75">
      <c r="A534" s="417"/>
      <c r="B534" s="417"/>
      <c r="C534" s="417"/>
      <c r="D534" s="417"/>
      <c r="E534" s="417"/>
      <c r="F534" s="417"/>
      <c r="G534" s="417"/>
      <c r="H534" s="417"/>
      <c r="I534" s="417"/>
      <c r="J534" s="417"/>
      <c r="K534" s="417"/>
      <c r="L534" s="417"/>
      <c r="M534" s="417"/>
      <c r="N534" s="417"/>
      <c r="O534" s="417"/>
      <c r="P534" s="417"/>
      <c r="Q534" s="417"/>
      <c r="R534" s="417"/>
      <c r="S534" s="417"/>
      <c r="T534" s="417"/>
      <c r="U534" s="417"/>
      <c r="V534" s="417"/>
      <c r="W534" s="417"/>
      <c r="X534" s="417"/>
      <c r="Y534" s="417"/>
      <c r="Z534" s="417"/>
    </row>
    <row r="535" spans="1:26" ht="15.75">
      <c r="A535" s="417"/>
      <c r="B535" s="417"/>
      <c r="C535" s="417"/>
      <c r="D535" s="417"/>
      <c r="E535" s="417"/>
      <c r="F535" s="417"/>
      <c r="G535" s="417"/>
      <c r="H535" s="417"/>
      <c r="I535" s="417"/>
      <c r="J535" s="417"/>
      <c r="K535" s="417"/>
      <c r="L535" s="417"/>
      <c r="M535" s="417"/>
      <c r="N535" s="417"/>
      <c r="O535" s="417"/>
      <c r="P535" s="417"/>
      <c r="Q535" s="417"/>
      <c r="R535" s="417"/>
      <c r="S535" s="417"/>
      <c r="T535" s="417"/>
      <c r="U535" s="417"/>
      <c r="V535" s="417"/>
      <c r="W535" s="417"/>
      <c r="X535" s="417"/>
      <c r="Y535" s="417"/>
      <c r="Z535" s="417"/>
    </row>
    <row r="536" spans="1:26" ht="15.75">
      <c r="A536" s="417"/>
      <c r="B536" s="417"/>
      <c r="C536" s="417"/>
      <c r="D536" s="417"/>
      <c r="E536" s="417"/>
      <c r="F536" s="417"/>
      <c r="G536" s="417"/>
      <c r="H536" s="417"/>
      <c r="I536" s="417"/>
      <c r="J536" s="417"/>
      <c r="K536" s="417"/>
      <c r="L536" s="417"/>
      <c r="M536" s="417"/>
      <c r="N536" s="417"/>
      <c r="O536" s="417"/>
      <c r="P536" s="417"/>
      <c r="Q536" s="417"/>
      <c r="R536" s="417"/>
      <c r="S536" s="417"/>
      <c r="T536" s="417"/>
      <c r="U536" s="417"/>
      <c r="V536" s="417"/>
      <c r="W536" s="417"/>
      <c r="X536" s="417"/>
      <c r="Y536" s="417"/>
      <c r="Z536" s="417"/>
    </row>
    <row r="537" spans="1:26" ht="15.75">
      <c r="A537" s="417"/>
      <c r="B537" s="417"/>
      <c r="C537" s="417"/>
      <c r="D537" s="417"/>
      <c r="E537" s="417"/>
      <c r="F537" s="417"/>
      <c r="G537" s="417"/>
      <c r="H537" s="417"/>
      <c r="I537" s="417"/>
      <c r="J537" s="417"/>
      <c r="K537" s="417"/>
      <c r="L537" s="417"/>
      <c r="M537" s="417"/>
      <c r="N537" s="417"/>
      <c r="O537" s="417"/>
      <c r="P537" s="417"/>
      <c r="Q537" s="417"/>
      <c r="R537" s="417"/>
      <c r="S537" s="417"/>
      <c r="T537" s="417"/>
      <c r="U537" s="417"/>
      <c r="V537" s="417"/>
      <c r="W537" s="417"/>
      <c r="X537" s="417"/>
      <c r="Y537" s="417"/>
      <c r="Z537" s="417"/>
    </row>
    <row r="538" spans="1:26" ht="15.75">
      <c r="A538" s="417"/>
      <c r="B538" s="417"/>
      <c r="C538" s="417"/>
      <c r="D538" s="417"/>
      <c r="E538" s="417"/>
      <c r="F538" s="417"/>
      <c r="G538" s="417"/>
      <c r="H538" s="417"/>
      <c r="I538" s="417"/>
      <c r="J538" s="417"/>
      <c r="K538" s="417"/>
      <c r="L538" s="417"/>
      <c r="M538" s="417"/>
      <c r="N538" s="417"/>
      <c r="O538" s="417"/>
      <c r="P538" s="417"/>
      <c r="Q538" s="417"/>
      <c r="R538" s="417"/>
      <c r="S538" s="417"/>
      <c r="T538" s="417"/>
      <c r="U538" s="417"/>
      <c r="V538" s="417"/>
      <c r="W538" s="417"/>
      <c r="X538" s="417"/>
      <c r="Y538" s="417"/>
      <c r="Z538" s="417"/>
    </row>
    <row r="539" spans="1:26" ht="15.75">
      <c r="A539" s="417"/>
      <c r="B539" s="417"/>
      <c r="C539" s="417"/>
      <c r="D539" s="417"/>
      <c r="E539" s="417"/>
      <c r="F539" s="417"/>
      <c r="G539" s="417"/>
      <c r="H539" s="417"/>
      <c r="I539" s="417"/>
      <c r="J539" s="417"/>
      <c r="K539" s="417"/>
      <c r="L539" s="417"/>
      <c r="M539" s="417"/>
      <c r="N539" s="417"/>
      <c r="O539" s="417"/>
      <c r="P539" s="417"/>
      <c r="Q539" s="417"/>
      <c r="R539" s="417"/>
      <c r="S539" s="417"/>
      <c r="T539" s="417"/>
      <c r="U539" s="417"/>
      <c r="V539" s="417"/>
      <c r="W539" s="417"/>
      <c r="X539" s="417"/>
      <c r="Y539" s="417"/>
      <c r="Z539" s="417"/>
    </row>
    <row r="540" spans="1:26" ht="15.75">
      <c r="A540" s="417"/>
      <c r="B540" s="417"/>
      <c r="C540" s="417"/>
      <c r="D540" s="417"/>
      <c r="E540" s="417"/>
      <c r="F540" s="417"/>
      <c r="G540" s="417"/>
      <c r="H540" s="417"/>
      <c r="I540" s="417"/>
      <c r="J540" s="417"/>
      <c r="K540" s="417"/>
      <c r="L540" s="417"/>
      <c r="M540" s="417"/>
      <c r="N540" s="417"/>
      <c r="O540" s="417"/>
      <c r="P540" s="417"/>
      <c r="Q540" s="417"/>
      <c r="R540" s="417"/>
      <c r="S540" s="417"/>
      <c r="T540" s="417"/>
      <c r="U540" s="417"/>
      <c r="V540" s="417"/>
      <c r="W540" s="417"/>
      <c r="X540" s="417"/>
      <c r="Y540" s="417"/>
      <c r="Z540" s="417"/>
    </row>
    <row r="541" spans="1:26" ht="15.75">
      <c r="A541" s="417"/>
      <c r="B541" s="417"/>
      <c r="C541" s="417"/>
      <c r="D541" s="417"/>
      <c r="E541" s="417"/>
      <c r="F541" s="417"/>
      <c r="G541" s="417"/>
      <c r="H541" s="417"/>
      <c r="I541" s="417"/>
      <c r="J541" s="417"/>
      <c r="K541" s="417"/>
      <c r="L541" s="417"/>
      <c r="M541" s="417"/>
      <c r="N541" s="417"/>
      <c r="O541" s="417"/>
      <c r="P541" s="417"/>
      <c r="Q541" s="417"/>
      <c r="R541" s="417"/>
      <c r="S541" s="417"/>
      <c r="T541" s="417"/>
      <c r="U541" s="417"/>
      <c r="V541" s="417"/>
      <c r="W541" s="417"/>
      <c r="X541" s="417"/>
      <c r="Y541" s="417"/>
      <c r="Z541" s="417"/>
    </row>
    <row r="542" spans="1:26" ht="15.75">
      <c r="A542" s="417"/>
      <c r="B542" s="417"/>
      <c r="C542" s="417"/>
      <c r="D542" s="417"/>
      <c r="E542" s="417"/>
      <c r="F542" s="417"/>
      <c r="G542" s="417"/>
      <c r="H542" s="417"/>
      <c r="I542" s="417"/>
      <c r="J542" s="417"/>
      <c r="K542" s="417"/>
      <c r="L542" s="417"/>
      <c r="M542" s="417"/>
      <c r="N542" s="417"/>
      <c r="O542" s="417"/>
      <c r="P542" s="417"/>
      <c r="Q542" s="417"/>
      <c r="R542" s="417"/>
      <c r="S542" s="417"/>
      <c r="T542" s="417"/>
      <c r="U542" s="417"/>
      <c r="V542" s="417"/>
      <c r="W542" s="417"/>
      <c r="X542" s="417"/>
      <c r="Y542" s="417"/>
      <c r="Z542" s="417"/>
    </row>
    <row r="543" spans="1:26" ht="15.75">
      <c r="A543" s="417"/>
      <c r="B543" s="417"/>
      <c r="C543" s="417"/>
      <c r="D543" s="417"/>
      <c r="E543" s="417"/>
      <c r="F543" s="417"/>
      <c r="G543" s="417"/>
      <c r="H543" s="417"/>
      <c r="I543" s="417"/>
      <c r="J543" s="417"/>
      <c r="K543" s="417"/>
      <c r="L543" s="417"/>
      <c r="M543" s="417"/>
      <c r="N543" s="417"/>
      <c r="O543" s="417"/>
      <c r="P543" s="417"/>
      <c r="Q543" s="417"/>
      <c r="R543" s="417"/>
      <c r="S543" s="417"/>
      <c r="T543" s="417"/>
      <c r="U543" s="417"/>
      <c r="V543" s="417"/>
      <c r="W543" s="417"/>
      <c r="X543" s="417"/>
      <c r="Y543" s="417"/>
      <c r="Z543" s="417"/>
    </row>
    <row r="544" spans="1:26" ht="15.75">
      <c r="A544" s="417"/>
      <c r="B544" s="417"/>
      <c r="C544" s="417"/>
      <c r="D544" s="417"/>
      <c r="E544" s="417"/>
      <c r="F544" s="417"/>
      <c r="G544" s="417"/>
      <c r="H544" s="417"/>
      <c r="I544" s="417"/>
      <c r="J544" s="417"/>
      <c r="K544" s="417"/>
      <c r="L544" s="417"/>
      <c r="M544" s="417"/>
      <c r="N544" s="417"/>
      <c r="O544" s="417"/>
      <c r="P544" s="417"/>
      <c r="Q544" s="417"/>
      <c r="R544" s="417"/>
      <c r="S544" s="417"/>
      <c r="T544" s="417"/>
      <c r="U544" s="417"/>
      <c r="V544" s="417"/>
      <c r="W544" s="417"/>
      <c r="X544" s="417"/>
      <c r="Y544" s="417"/>
      <c r="Z544" s="417"/>
    </row>
    <row r="545" spans="1:26" ht="15.75">
      <c r="A545" s="417"/>
      <c r="B545" s="417"/>
      <c r="C545" s="417"/>
      <c r="D545" s="417"/>
      <c r="E545" s="417"/>
      <c r="F545" s="417"/>
      <c r="G545" s="417"/>
      <c r="H545" s="417"/>
      <c r="I545" s="417"/>
      <c r="J545" s="417"/>
      <c r="K545" s="417"/>
      <c r="L545" s="417"/>
      <c r="M545" s="417"/>
      <c r="N545" s="417"/>
      <c r="O545" s="417"/>
      <c r="P545" s="417"/>
      <c r="Q545" s="417"/>
      <c r="R545" s="417"/>
      <c r="S545" s="417"/>
      <c r="T545" s="417"/>
      <c r="U545" s="417"/>
      <c r="V545" s="417"/>
      <c r="W545" s="417"/>
      <c r="X545" s="417"/>
      <c r="Y545" s="417"/>
      <c r="Z545" s="417"/>
    </row>
    <row r="546" spans="1:26" ht="15.75">
      <c r="A546" s="417"/>
      <c r="B546" s="417"/>
      <c r="C546" s="417"/>
      <c r="D546" s="417"/>
      <c r="E546" s="417"/>
      <c r="F546" s="417"/>
      <c r="G546" s="417"/>
      <c r="H546" s="417"/>
      <c r="I546" s="417"/>
      <c r="J546" s="417"/>
      <c r="K546" s="417"/>
      <c r="L546" s="417"/>
      <c r="M546" s="417"/>
      <c r="N546" s="417"/>
      <c r="O546" s="417"/>
      <c r="P546" s="417"/>
      <c r="Q546" s="417"/>
      <c r="R546" s="417"/>
      <c r="S546" s="417"/>
      <c r="T546" s="417"/>
      <c r="U546" s="417"/>
      <c r="V546" s="417"/>
      <c r="W546" s="417"/>
      <c r="X546" s="417"/>
      <c r="Y546" s="417"/>
      <c r="Z546" s="417"/>
    </row>
    <row r="547" spans="1:26" ht="15.75">
      <c r="A547" s="417"/>
      <c r="B547" s="417"/>
      <c r="C547" s="417"/>
      <c r="D547" s="417"/>
      <c r="E547" s="417"/>
      <c r="F547" s="417"/>
      <c r="G547" s="417"/>
      <c r="H547" s="417"/>
      <c r="I547" s="417"/>
      <c r="J547" s="417"/>
      <c r="K547" s="417"/>
      <c r="L547" s="417"/>
      <c r="M547" s="417"/>
      <c r="N547" s="417"/>
      <c r="O547" s="417"/>
      <c r="P547" s="417"/>
      <c r="Q547" s="417"/>
      <c r="R547" s="417"/>
      <c r="S547" s="417"/>
      <c r="T547" s="417"/>
      <c r="U547" s="417"/>
      <c r="V547" s="417"/>
      <c r="W547" s="417"/>
      <c r="X547" s="417"/>
      <c r="Y547" s="417"/>
      <c r="Z547" s="417"/>
    </row>
    <row r="548" spans="1:26" ht="15.75">
      <c r="A548" s="417"/>
      <c r="B548" s="417"/>
      <c r="C548" s="417"/>
      <c r="D548" s="417"/>
      <c r="E548" s="417"/>
      <c r="F548" s="417"/>
      <c r="G548" s="417"/>
      <c r="H548" s="417"/>
      <c r="I548" s="417"/>
      <c r="J548" s="417"/>
      <c r="K548" s="417"/>
      <c r="L548" s="417"/>
      <c r="M548" s="417"/>
      <c r="N548" s="417"/>
      <c r="O548" s="417"/>
      <c r="P548" s="417"/>
      <c r="Q548" s="417"/>
      <c r="R548" s="417"/>
      <c r="S548" s="417"/>
      <c r="T548" s="417"/>
      <c r="U548" s="417"/>
      <c r="V548" s="417"/>
      <c r="W548" s="417"/>
      <c r="X548" s="417"/>
      <c r="Y548" s="417"/>
      <c r="Z548" s="417"/>
    </row>
    <row r="549" spans="1:26" ht="15.75">
      <c r="A549" s="417"/>
      <c r="B549" s="417"/>
      <c r="C549" s="417"/>
      <c r="D549" s="417"/>
      <c r="E549" s="417"/>
      <c r="F549" s="417"/>
      <c r="G549" s="417"/>
      <c r="H549" s="417"/>
      <c r="I549" s="417"/>
      <c r="J549" s="417"/>
      <c r="K549" s="417"/>
      <c r="L549" s="417"/>
      <c r="M549" s="417"/>
      <c r="N549" s="417"/>
      <c r="O549" s="417"/>
      <c r="P549" s="417"/>
      <c r="Q549" s="417"/>
      <c r="R549" s="417"/>
      <c r="S549" s="417"/>
      <c r="T549" s="417"/>
      <c r="U549" s="417"/>
      <c r="V549" s="417"/>
      <c r="W549" s="417"/>
      <c r="X549" s="417"/>
      <c r="Y549" s="417"/>
      <c r="Z549" s="417"/>
    </row>
    <row r="550" spans="1:26" ht="15.75">
      <c r="A550" s="417"/>
      <c r="B550" s="417"/>
      <c r="C550" s="417"/>
      <c r="D550" s="417"/>
      <c r="E550" s="417"/>
      <c r="F550" s="417"/>
      <c r="G550" s="417"/>
      <c r="H550" s="417"/>
      <c r="I550" s="417"/>
      <c r="J550" s="417"/>
      <c r="K550" s="417"/>
      <c r="L550" s="417"/>
      <c r="M550" s="417"/>
      <c r="N550" s="417"/>
      <c r="O550" s="417"/>
      <c r="P550" s="417"/>
      <c r="Q550" s="417"/>
      <c r="R550" s="417"/>
      <c r="S550" s="417"/>
      <c r="T550" s="417"/>
      <c r="U550" s="417"/>
      <c r="V550" s="417"/>
      <c r="W550" s="417"/>
      <c r="X550" s="417"/>
      <c r="Y550" s="417"/>
      <c r="Z550" s="417"/>
    </row>
    <row r="551" spans="1:26" ht="15.75">
      <c r="A551" s="417"/>
      <c r="B551" s="417"/>
      <c r="C551" s="417"/>
      <c r="D551" s="417"/>
      <c r="E551" s="417"/>
      <c r="F551" s="417"/>
      <c r="G551" s="417"/>
      <c r="H551" s="417"/>
      <c r="I551" s="417"/>
      <c r="J551" s="417"/>
      <c r="K551" s="417"/>
      <c r="L551" s="417"/>
      <c r="M551" s="417"/>
      <c r="N551" s="417"/>
      <c r="O551" s="417"/>
      <c r="P551" s="417"/>
      <c r="Q551" s="417"/>
      <c r="R551" s="417"/>
      <c r="S551" s="417"/>
      <c r="T551" s="417"/>
      <c r="U551" s="417"/>
      <c r="V551" s="417"/>
      <c r="W551" s="417"/>
      <c r="X551" s="417"/>
      <c r="Y551" s="417"/>
      <c r="Z551" s="417"/>
    </row>
    <row r="552" spans="1:26" ht="15.75">
      <c r="A552" s="417"/>
      <c r="B552" s="417"/>
      <c r="C552" s="417"/>
      <c r="D552" s="417"/>
      <c r="E552" s="417"/>
      <c r="F552" s="417"/>
      <c r="G552" s="417"/>
      <c r="H552" s="417"/>
      <c r="I552" s="417"/>
      <c r="J552" s="417"/>
      <c r="K552" s="417"/>
      <c r="L552" s="417"/>
      <c r="M552" s="417"/>
      <c r="N552" s="417"/>
      <c r="O552" s="417"/>
      <c r="P552" s="417"/>
      <c r="Q552" s="417"/>
      <c r="R552" s="417"/>
      <c r="S552" s="417"/>
      <c r="T552" s="417"/>
      <c r="U552" s="417"/>
      <c r="V552" s="417"/>
      <c r="W552" s="417"/>
      <c r="X552" s="417"/>
      <c r="Y552" s="417"/>
      <c r="Z552" s="417"/>
    </row>
    <row r="553" spans="1:26" ht="15.75">
      <c r="A553" s="417"/>
      <c r="B553" s="417"/>
      <c r="C553" s="417"/>
      <c r="D553" s="417"/>
      <c r="E553" s="417"/>
      <c r="F553" s="417"/>
      <c r="G553" s="417"/>
      <c r="H553" s="417"/>
      <c r="I553" s="417"/>
      <c r="J553" s="417"/>
      <c r="K553" s="417"/>
      <c r="L553" s="417"/>
      <c r="M553" s="417"/>
      <c r="N553" s="417"/>
      <c r="O553" s="417"/>
      <c r="P553" s="417"/>
      <c r="Q553" s="417"/>
      <c r="R553" s="417"/>
      <c r="S553" s="417"/>
      <c r="T553" s="417"/>
      <c r="U553" s="417"/>
      <c r="V553" s="417"/>
      <c r="W553" s="417"/>
      <c r="X553" s="417"/>
      <c r="Y553" s="417"/>
      <c r="Z553" s="417"/>
    </row>
    <row r="554" spans="1:26" ht="15.75">
      <c r="A554" s="417"/>
      <c r="B554" s="417"/>
      <c r="C554" s="417"/>
      <c r="D554" s="417"/>
      <c r="E554" s="417"/>
      <c r="F554" s="417"/>
      <c r="G554" s="417"/>
      <c r="H554" s="417"/>
      <c r="I554" s="417"/>
      <c r="J554" s="417"/>
      <c r="K554" s="417"/>
      <c r="L554" s="417"/>
      <c r="M554" s="417"/>
      <c r="N554" s="417"/>
      <c r="O554" s="417"/>
      <c r="P554" s="417"/>
      <c r="Q554" s="417"/>
      <c r="R554" s="417"/>
      <c r="S554" s="417"/>
      <c r="T554" s="417"/>
      <c r="U554" s="417"/>
      <c r="V554" s="417"/>
      <c r="W554" s="417"/>
      <c r="X554" s="417"/>
      <c r="Y554" s="417"/>
      <c r="Z554" s="417"/>
    </row>
    <row r="555" spans="1:26" ht="15.75">
      <c r="A555" s="417"/>
      <c r="B555" s="417"/>
      <c r="C555" s="417"/>
      <c r="D555" s="417"/>
      <c r="E555" s="417"/>
      <c r="F555" s="417"/>
      <c r="G555" s="417"/>
      <c r="H555" s="417"/>
      <c r="I555" s="417"/>
      <c r="J555" s="417"/>
      <c r="K555" s="417"/>
      <c r="L555" s="417"/>
      <c r="M555" s="417"/>
      <c r="N555" s="417"/>
      <c r="O555" s="417"/>
      <c r="P555" s="417"/>
      <c r="Q555" s="417"/>
      <c r="R555" s="417"/>
      <c r="S555" s="417"/>
      <c r="T555" s="417"/>
      <c r="U555" s="417"/>
      <c r="V555" s="417"/>
      <c r="W555" s="417"/>
      <c r="X555" s="417"/>
      <c r="Y555" s="417"/>
      <c r="Z555" s="417"/>
    </row>
    <row r="556" spans="1:26" ht="15.75">
      <c r="A556" s="417"/>
      <c r="B556" s="417"/>
      <c r="C556" s="417"/>
      <c r="D556" s="417"/>
      <c r="E556" s="417"/>
      <c r="F556" s="417"/>
      <c r="G556" s="417"/>
      <c r="H556" s="417"/>
      <c r="I556" s="417"/>
      <c r="J556" s="417"/>
      <c r="K556" s="417"/>
      <c r="L556" s="417"/>
      <c r="M556" s="417"/>
      <c r="N556" s="417"/>
      <c r="O556" s="417"/>
      <c r="P556" s="417"/>
      <c r="Q556" s="417"/>
      <c r="R556" s="417"/>
      <c r="S556" s="417"/>
      <c r="T556" s="417"/>
      <c r="U556" s="417"/>
      <c r="V556" s="417"/>
      <c r="W556" s="417"/>
      <c r="X556" s="417"/>
      <c r="Y556" s="417"/>
      <c r="Z556" s="417"/>
    </row>
    <row r="557" spans="1:26" ht="15.75">
      <c r="A557" s="417"/>
      <c r="B557" s="417"/>
      <c r="C557" s="417"/>
      <c r="D557" s="417"/>
      <c r="E557" s="417"/>
      <c r="F557" s="417"/>
      <c r="G557" s="417"/>
      <c r="H557" s="417"/>
      <c r="I557" s="417"/>
      <c r="J557" s="417"/>
      <c r="K557" s="417"/>
      <c r="L557" s="417"/>
      <c r="M557" s="417"/>
      <c r="N557" s="417"/>
      <c r="O557" s="417"/>
      <c r="P557" s="417"/>
      <c r="Q557" s="417"/>
      <c r="R557" s="417"/>
      <c r="S557" s="417"/>
      <c r="T557" s="417"/>
      <c r="U557" s="417"/>
      <c r="V557" s="417"/>
      <c r="W557" s="417"/>
      <c r="X557" s="417"/>
      <c r="Y557" s="417"/>
      <c r="Z557" s="417"/>
    </row>
    <row r="558" spans="1:26" ht="15.75">
      <c r="A558" s="417"/>
      <c r="B558" s="417"/>
      <c r="C558" s="417"/>
      <c r="D558" s="417"/>
      <c r="E558" s="417"/>
      <c r="F558" s="417"/>
      <c r="G558" s="417"/>
      <c r="H558" s="417"/>
      <c r="I558" s="417"/>
      <c r="J558" s="417"/>
      <c r="K558" s="417"/>
      <c r="L558" s="417"/>
      <c r="M558" s="417"/>
      <c r="N558" s="417"/>
      <c r="O558" s="417"/>
      <c r="P558" s="417"/>
      <c r="Q558" s="417"/>
      <c r="R558" s="417"/>
      <c r="S558" s="417"/>
      <c r="T558" s="417"/>
      <c r="U558" s="417"/>
      <c r="V558" s="417"/>
      <c r="W558" s="417"/>
      <c r="X558" s="417"/>
      <c r="Y558" s="417"/>
      <c r="Z558" s="417"/>
    </row>
    <row r="559" spans="1:26" ht="15.75">
      <c r="A559" s="417"/>
      <c r="B559" s="417"/>
      <c r="C559" s="417"/>
      <c r="D559" s="417"/>
      <c r="E559" s="417"/>
      <c r="F559" s="417"/>
      <c r="G559" s="417"/>
      <c r="H559" s="417"/>
      <c r="I559" s="417"/>
      <c r="J559" s="417"/>
      <c r="K559" s="417"/>
      <c r="L559" s="417"/>
      <c r="M559" s="417"/>
      <c r="N559" s="417"/>
      <c r="O559" s="417"/>
      <c r="P559" s="417"/>
      <c r="Q559" s="417"/>
      <c r="R559" s="417"/>
      <c r="S559" s="417"/>
      <c r="T559" s="417"/>
      <c r="U559" s="417"/>
      <c r="V559" s="417"/>
      <c r="W559" s="417"/>
      <c r="X559" s="417"/>
      <c r="Y559" s="417"/>
      <c r="Z559" s="417"/>
    </row>
    <row r="560" spans="1:26" ht="15.75">
      <c r="A560" s="417"/>
      <c r="B560" s="417"/>
      <c r="C560" s="417"/>
      <c r="D560" s="417"/>
      <c r="E560" s="417"/>
      <c r="F560" s="417"/>
      <c r="G560" s="417"/>
      <c r="H560" s="417"/>
      <c r="I560" s="417"/>
      <c r="J560" s="417"/>
      <c r="K560" s="417"/>
      <c r="L560" s="417"/>
      <c r="M560" s="417"/>
      <c r="N560" s="417"/>
      <c r="O560" s="417"/>
      <c r="P560" s="417"/>
      <c r="Q560" s="417"/>
      <c r="R560" s="417"/>
      <c r="S560" s="417"/>
      <c r="T560" s="417"/>
      <c r="U560" s="417"/>
      <c r="V560" s="417"/>
      <c r="W560" s="417"/>
      <c r="X560" s="417"/>
      <c r="Y560" s="417"/>
      <c r="Z560" s="417"/>
    </row>
    <row r="561" spans="1:26" ht="15.75">
      <c r="A561" s="417"/>
      <c r="B561" s="417"/>
      <c r="C561" s="417"/>
      <c r="D561" s="417"/>
      <c r="E561" s="417"/>
      <c r="F561" s="417"/>
      <c r="G561" s="417"/>
      <c r="H561" s="417"/>
      <c r="I561" s="417"/>
      <c r="J561" s="417"/>
      <c r="K561" s="417"/>
      <c r="L561" s="417"/>
      <c r="M561" s="417"/>
      <c r="N561" s="417"/>
      <c r="O561" s="417"/>
      <c r="P561" s="417"/>
      <c r="Q561" s="417"/>
      <c r="R561" s="417"/>
      <c r="S561" s="417"/>
      <c r="T561" s="417"/>
      <c r="U561" s="417"/>
      <c r="V561" s="417"/>
      <c r="W561" s="417"/>
      <c r="X561" s="417"/>
      <c r="Y561" s="417"/>
      <c r="Z561" s="417"/>
    </row>
    <row r="562" spans="1:26" ht="15.75">
      <c r="A562" s="417"/>
      <c r="B562" s="417"/>
      <c r="C562" s="417"/>
      <c r="D562" s="417"/>
      <c r="E562" s="417"/>
      <c r="F562" s="417"/>
      <c r="G562" s="417"/>
      <c r="H562" s="417"/>
      <c r="I562" s="417"/>
      <c r="J562" s="417"/>
      <c r="K562" s="417"/>
      <c r="L562" s="417"/>
      <c r="M562" s="417"/>
      <c r="N562" s="417"/>
      <c r="O562" s="417"/>
      <c r="P562" s="417"/>
      <c r="Q562" s="417"/>
      <c r="R562" s="417"/>
      <c r="S562" s="417"/>
      <c r="T562" s="417"/>
      <c r="U562" s="417"/>
      <c r="V562" s="417"/>
      <c r="W562" s="417"/>
      <c r="X562" s="417"/>
      <c r="Y562" s="417"/>
      <c r="Z562" s="417"/>
    </row>
    <row r="563" spans="1:26" ht="15.75">
      <c r="A563" s="417"/>
      <c r="B563" s="417"/>
      <c r="C563" s="417"/>
      <c r="D563" s="417"/>
      <c r="E563" s="417"/>
      <c r="F563" s="417"/>
      <c r="G563" s="417"/>
      <c r="H563" s="417"/>
      <c r="I563" s="417"/>
      <c r="J563" s="417"/>
      <c r="K563" s="417"/>
      <c r="L563" s="417"/>
      <c r="M563" s="417"/>
      <c r="N563" s="417"/>
      <c r="O563" s="417"/>
      <c r="P563" s="417"/>
      <c r="Q563" s="417"/>
      <c r="R563" s="417"/>
      <c r="S563" s="417"/>
      <c r="T563" s="417"/>
      <c r="U563" s="417"/>
      <c r="V563" s="417"/>
      <c r="W563" s="417"/>
      <c r="X563" s="417"/>
      <c r="Y563" s="417"/>
      <c r="Z563" s="417"/>
    </row>
    <row r="564" spans="1:26" ht="15.75">
      <c r="A564" s="417"/>
      <c r="B564" s="417"/>
      <c r="C564" s="417"/>
      <c r="D564" s="417"/>
      <c r="E564" s="417"/>
      <c r="F564" s="417"/>
      <c r="G564" s="417"/>
      <c r="H564" s="417"/>
      <c r="I564" s="417"/>
      <c r="J564" s="417"/>
      <c r="K564" s="417"/>
      <c r="L564" s="417"/>
      <c r="M564" s="417"/>
      <c r="N564" s="417"/>
      <c r="O564" s="417"/>
      <c r="P564" s="417"/>
      <c r="Q564" s="417"/>
      <c r="R564" s="417"/>
      <c r="S564" s="417"/>
      <c r="T564" s="417"/>
      <c r="U564" s="417"/>
      <c r="V564" s="417"/>
      <c r="W564" s="417"/>
      <c r="X564" s="417"/>
      <c r="Y564" s="417"/>
      <c r="Z564" s="417"/>
    </row>
    <row r="565" spans="1:26" ht="15.75">
      <c r="A565" s="417"/>
      <c r="B565" s="417"/>
      <c r="C565" s="417"/>
      <c r="D565" s="417"/>
      <c r="E565" s="417"/>
      <c r="F565" s="417"/>
      <c r="G565" s="417"/>
      <c r="H565" s="417"/>
      <c r="I565" s="417"/>
      <c r="J565" s="417"/>
      <c r="K565" s="417"/>
      <c r="L565" s="417"/>
      <c r="M565" s="417"/>
      <c r="N565" s="417"/>
      <c r="O565" s="417"/>
      <c r="P565" s="417"/>
      <c r="Q565" s="417"/>
      <c r="R565" s="417"/>
      <c r="S565" s="417"/>
      <c r="T565" s="417"/>
      <c r="U565" s="417"/>
      <c r="V565" s="417"/>
      <c r="W565" s="417"/>
      <c r="X565" s="417"/>
      <c r="Y565" s="417"/>
      <c r="Z565" s="417"/>
    </row>
    <row r="566" spans="1:26" ht="15.75">
      <c r="A566" s="417"/>
      <c r="B566" s="417"/>
      <c r="C566" s="417"/>
      <c r="D566" s="417"/>
      <c r="E566" s="417"/>
      <c r="F566" s="417"/>
      <c r="G566" s="417"/>
      <c r="H566" s="417"/>
      <c r="I566" s="417"/>
      <c r="J566" s="417"/>
      <c r="K566" s="417"/>
      <c r="L566" s="417"/>
      <c r="M566" s="417"/>
      <c r="N566" s="417"/>
      <c r="O566" s="417"/>
      <c r="P566" s="417"/>
      <c r="Q566" s="417"/>
      <c r="R566" s="417"/>
      <c r="S566" s="417"/>
      <c r="T566" s="417"/>
      <c r="U566" s="417"/>
      <c r="V566" s="417"/>
      <c r="W566" s="417"/>
      <c r="X566" s="417"/>
      <c r="Y566" s="417"/>
      <c r="Z566" s="417"/>
    </row>
    <row r="567" spans="1:26" ht="15.75">
      <c r="A567" s="417"/>
      <c r="B567" s="417"/>
      <c r="C567" s="417"/>
      <c r="D567" s="417"/>
      <c r="E567" s="417"/>
      <c r="F567" s="417"/>
      <c r="G567" s="417"/>
      <c r="H567" s="417"/>
      <c r="I567" s="417"/>
      <c r="J567" s="417"/>
      <c r="K567" s="417"/>
      <c r="L567" s="417"/>
      <c r="M567" s="417"/>
      <c r="N567" s="417"/>
      <c r="O567" s="417"/>
      <c r="P567" s="417"/>
      <c r="Q567" s="417"/>
      <c r="R567" s="417"/>
      <c r="S567" s="417"/>
      <c r="T567" s="417"/>
      <c r="U567" s="417"/>
      <c r="V567" s="417"/>
      <c r="W567" s="417"/>
      <c r="X567" s="417"/>
      <c r="Y567" s="417"/>
      <c r="Z567" s="417"/>
    </row>
    <row r="568" spans="1:26" ht="15.75">
      <c r="A568" s="417"/>
      <c r="B568" s="417"/>
      <c r="C568" s="417"/>
      <c r="D568" s="417"/>
      <c r="E568" s="417"/>
      <c r="F568" s="417"/>
      <c r="G568" s="417"/>
      <c r="H568" s="417"/>
      <c r="I568" s="417"/>
      <c r="J568" s="417"/>
      <c r="K568" s="417"/>
      <c r="L568" s="417"/>
      <c r="M568" s="417"/>
      <c r="N568" s="417"/>
      <c r="O568" s="417"/>
      <c r="P568" s="417"/>
      <c r="Q568" s="417"/>
      <c r="R568" s="417"/>
      <c r="S568" s="417"/>
      <c r="T568" s="417"/>
      <c r="U568" s="417"/>
      <c r="V568" s="417"/>
      <c r="W568" s="417"/>
      <c r="X568" s="417"/>
      <c r="Y568" s="417"/>
      <c r="Z568" s="417"/>
    </row>
    <row r="569" spans="1:26" ht="15.75">
      <c r="A569" s="417"/>
      <c r="B569" s="417"/>
      <c r="C569" s="417"/>
      <c r="D569" s="417"/>
      <c r="E569" s="417"/>
      <c r="F569" s="417"/>
      <c r="G569" s="417"/>
      <c r="H569" s="417"/>
      <c r="I569" s="417"/>
      <c r="J569" s="417"/>
      <c r="K569" s="417"/>
      <c r="L569" s="417"/>
      <c r="M569" s="417"/>
      <c r="N569" s="417"/>
      <c r="O569" s="417"/>
      <c r="P569" s="417"/>
      <c r="Q569" s="417"/>
      <c r="R569" s="417"/>
      <c r="S569" s="417"/>
      <c r="T569" s="417"/>
      <c r="U569" s="417"/>
      <c r="V569" s="417"/>
      <c r="W569" s="417"/>
      <c r="X569" s="417"/>
      <c r="Y569" s="417"/>
      <c r="Z569" s="417"/>
    </row>
    <row r="570" spans="1:26" ht="15.75">
      <c r="A570" s="417"/>
      <c r="B570" s="417"/>
      <c r="C570" s="417"/>
      <c r="D570" s="417"/>
      <c r="E570" s="417"/>
      <c r="F570" s="417"/>
      <c r="G570" s="417"/>
      <c r="H570" s="417"/>
      <c r="I570" s="417"/>
      <c r="J570" s="417"/>
      <c r="K570" s="417"/>
      <c r="L570" s="417"/>
      <c r="M570" s="417"/>
      <c r="N570" s="417"/>
      <c r="O570" s="417"/>
      <c r="P570" s="417"/>
      <c r="Q570" s="417"/>
      <c r="R570" s="417"/>
      <c r="S570" s="417"/>
      <c r="T570" s="417"/>
      <c r="U570" s="417"/>
      <c r="V570" s="417"/>
      <c r="W570" s="417"/>
      <c r="X570" s="417"/>
      <c r="Y570" s="417"/>
      <c r="Z570" s="417"/>
    </row>
    <row r="571" spans="1:26" ht="15.75">
      <c r="A571" s="417"/>
      <c r="B571" s="417"/>
      <c r="C571" s="417"/>
      <c r="D571" s="417"/>
      <c r="E571" s="417"/>
      <c r="F571" s="417"/>
      <c r="G571" s="417"/>
      <c r="H571" s="417"/>
      <c r="I571" s="417"/>
      <c r="J571" s="417"/>
      <c r="K571" s="417"/>
      <c r="L571" s="417"/>
      <c r="M571" s="417"/>
      <c r="N571" s="417"/>
      <c r="O571" s="417"/>
      <c r="P571" s="417"/>
      <c r="Q571" s="417"/>
      <c r="R571" s="417"/>
      <c r="S571" s="417"/>
      <c r="T571" s="417"/>
      <c r="U571" s="417"/>
      <c r="V571" s="417"/>
      <c r="W571" s="417"/>
      <c r="X571" s="417"/>
      <c r="Y571" s="417"/>
      <c r="Z571" s="417"/>
    </row>
    <row r="572" spans="1:26" ht="15.75">
      <c r="A572" s="417"/>
      <c r="B572" s="417"/>
      <c r="C572" s="417"/>
      <c r="D572" s="417"/>
      <c r="E572" s="417"/>
      <c r="F572" s="417"/>
      <c r="G572" s="417"/>
      <c r="H572" s="417"/>
      <c r="I572" s="417"/>
      <c r="J572" s="417"/>
      <c r="K572" s="417"/>
      <c r="L572" s="417"/>
      <c r="M572" s="417"/>
      <c r="N572" s="417"/>
      <c r="O572" s="417"/>
      <c r="P572" s="417"/>
      <c r="Q572" s="417"/>
      <c r="R572" s="417"/>
      <c r="S572" s="417"/>
      <c r="T572" s="417"/>
      <c r="U572" s="417"/>
      <c r="V572" s="417"/>
      <c r="W572" s="417"/>
      <c r="X572" s="417"/>
      <c r="Y572" s="417"/>
      <c r="Z572" s="417"/>
    </row>
    <row r="573" spans="1:26" ht="15.75">
      <c r="A573" s="417"/>
      <c r="B573" s="417"/>
      <c r="C573" s="417"/>
      <c r="D573" s="417"/>
      <c r="E573" s="417"/>
      <c r="F573" s="417"/>
      <c r="G573" s="417"/>
      <c r="H573" s="417"/>
      <c r="I573" s="417"/>
      <c r="J573" s="417"/>
      <c r="K573" s="417"/>
      <c r="L573" s="417"/>
      <c r="M573" s="417"/>
      <c r="N573" s="417"/>
      <c r="O573" s="417"/>
      <c r="P573" s="417"/>
      <c r="Q573" s="417"/>
      <c r="R573" s="417"/>
      <c r="S573" s="417"/>
      <c r="T573" s="417"/>
      <c r="U573" s="417"/>
      <c r="V573" s="417"/>
      <c r="W573" s="417"/>
      <c r="X573" s="417"/>
      <c r="Y573" s="417"/>
      <c r="Z573" s="417"/>
    </row>
    <row r="574" spans="1:26" ht="15.75">
      <c r="A574" s="417"/>
      <c r="B574" s="417"/>
      <c r="C574" s="417"/>
      <c r="D574" s="417"/>
      <c r="E574" s="417"/>
      <c r="F574" s="417"/>
      <c r="G574" s="417"/>
      <c r="H574" s="417"/>
      <c r="I574" s="417"/>
      <c r="J574" s="417"/>
      <c r="K574" s="417"/>
      <c r="L574" s="417"/>
      <c r="M574" s="417"/>
      <c r="N574" s="417"/>
      <c r="O574" s="417"/>
      <c r="P574" s="417"/>
      <c r="Q574" s="417"/>
      <c r="R574" s="417"/>
      <c r="S574" s="417"/>
      <c r="T574" s="417"/>
      <c r="U574" s="417"/>
      <c r="V574" s="417"/>
      <c r="W574" s="417"/>
      <c r="X574" s="417"/>
      <c r="Y574" s="417"/>
      <c r="Z574" s="417"/>
    </row>
    <row r="575" spans="1:26" ht="15.75">
      <c r="A575" s="417"/>
      <c r="B575" s="417"/>
      <c r="C575" s="417"/>
      <c r="D575" s="417"/>
      <c r="E575" s="417"/>
      <c r="F575" s="417"/>
      <c r="G575" s="417"/>
      <c r="H575" s="417"/>
      <c r="I575" s="417"/>
      <c r="J575" s="417"/>
      <c r="K575" s="417"/>
      <c r="L575" s="417"/>
      <c r="M575" s="417"/>
      <c r="N575" s="417"/>
      <c r="O575" s="417"/>
      <c r="P575" s="417"/>
      <c r="Q575" s="417"/>
      <c r="R575" s="417"/>
      <c r="S575" s="417"/>
      <c r="T575" s="417"/>
      <c r="U575" s="417"/>
      <c r="V575" s="417"/>
      <c r="W575" s="417"/>
      <c r="X575" s="417"/>
      <c r="Y575" s="417"/>
      <c r="Z575" s="417"/>
    </row>
    <row r="576" spans="1:26" ht="15.75">
      <c r="A576" s="417"/>
      <c r="B576" s="417"/>
      <c r="C576" s="417"/>
      <c r="D576" s="417"/>
      <c r="E576" s="417"/>
      <c r="F576" s="417"/>
      <c r="G576" s="417"/>
      <c r="H576" s="417"/>
      <c r="I576" s="417"/>
      <c r="J576" s="417"/>
      <c r="K576" s="417"/>
      <c r="L576" s="417"/>
      <c r="M576" s="417"/>
      <c r="N576" s="417"/>
      <c r="O576" s="417"/>
      <c r="P576" s="417"/>
      <c r="Q576" s="417"/>
      <c r="R576" s="417"/>
      <c r="S576" s="417"/>
      <c r="T576" s="417"/>
      <c r="U576" s="417"/>
      <c r="V576" s="417"/>
      <c r="W576" s="417"/>
      <c r="X576" s="417"/>
      <c r="Y576" s="417"/>
      <c r="Z576" s="417"/>
    </row>
    <row r="577" spans="1:26" ht="15.75">
      <c r="A577" s="417"/>
      <c r="B577" s="417"/>
      <c r="C577" s="417"/>
      <c r="D577" s="417"/>
      <c r="E577" s="417"/>
      <c r="F577" s="417"/>
      <c r="G577" s="417"/>
      <c r="H577" s="417"/>
      <c r="I577" s="417"/>
      <c r="J577" s="417"/>
      <c r="K577" s="417"/>
      <c r="L577" s="417"/>
      <c r="M577" s="417"/>
      <c r="N577" s="417"/>
      <c r="O577" s="417"/>
      <c r="P577" s="417"/>
      <c r="Q577" s="417"/>
      <c r="R577" s="417"/>
      <c r="S577" s="417"/>
      <c r="T577" s="417"/>
      <c r="U577" s="417"/>
      <c r="V577" s="417"/>
      <c r="W577" s="417"/>
      <c r="X577" s="417"/>
      <c r="Y577" s="417"/>
      <c r="Z577" s="417"/>
    </row>
    <row r="578" spans="1:26" ht="15.75">
      <c r="A578" s="417"/>
      <c r="B578" s="417"/>
      <c r="C578" s="417"/>
      <c r="D578" s="417"/>
      <c r="E578" s="417"/>
      <c r="F578" s="417"/>
      <c r="G578" s="417"/>
      <c r="H578" s="417"/>
      <c r="I578" s="417"/>
      <c r="J578" s="417"/>
      <c r="K578" s="417"/>
      <c r="L578" s="417"/>
      <c r="M578" s="417"/>
      <c r="N578" s="417"/>
      <c r="O578" s="417"/>
      <c r="P578" s="417"/>
      <c r="Q578" s="417"/>
      <c r="R578" s="417"/>
      <c r="S578" s="417"/>
      <c r="T578" s="417"/>
      <c r="U578" s="417"/>
      <c r="V578" s="417"/>
      <c r="W578" s="417"/>
      <c r="X578" s="417"/>
      <c r="Y578" s="417"/>
      <c r="Z578" s="417"/>
    </row>
    <row r="579" spans="1:26" ht="15.75">
      <c r="A579" s="417"/>
      <c r="B579" s="417"/>
      <c r="C579" s="417"/>
      <c r="D579" s="417"/>
      <c r="E579" s="417"/>
      <c r="F579" s="417"/>
      <c r="G579" s="417"/>
      <c r="H579" s="417"/>
      <c r="I579" s="417"/>
      <c r="J579" s="417"/>
      <c r="K579" s="417"/>
      <c r="L579" s="417"/>
      <c r="M579" s="417"/>
      <c r="N579" s="417"/>
      <c r="O579" s="417"/>
      <c r="P579" s="417"/>
      <c r="Q579" s="417"/>
      <c r="R579" s="417"/>
      <c r="S579" s="417"/>
      <c r="T579" s="417"/>
      <c r="U579" s="417"/>
      <c r="V579" s="417"/>
      <c r="W579" s="417"/>
      <c r="X579" s="417"/>
      <c r="Y579" s="417"/>
      <c r="Z579" s="417"/>
    </row>
    <row r="580" spans="1:26" ht="15.75">
      <c r="A580" s="417"/>
      <c r="B580" s="417"/>
      <c r="C580" s="417"/>
      <c r="D580" s="417"/>
      <c r="E580" s="417"/>
      <c r="F580" s="417"/>
      <c r="G580" s="417"/>
      <c r="H580" s="417"/>
      <c r="I580" s="417"/>
      <c r="J580" s="417"/>
      <c r="K580" s="417"/>
      <c r="L580" s="417"/>
      <c r="M580" s="417"/>
      <c r="N580" s="417"/>
      <c r="O580" s="417"/>
      <c r="P580" s="417"/>
      <c r="Q580" s="417"/>
      <c r="R580" s="417"/>
      <c r="S580" s="417"/>
      <c r="T580" s="417"/>
      <c r="U580" s="417"/>
      <c r="V580" s="417"/>
      <c r="W580" s="417"/>
      <c r="X580" s="417"/>
      <c r="Y580" s="417"/>
      <c r="Z580" s="417"/>
    </row>
    <row r="581" spans="1:26" ht="15.75">
      <c r="A581" s="417"/>
      <c r="B581" s="417"/>
      <c r="C581" s="417"/>
      <c r="D581" s="417"/>
      <c r="E581" s="417"/>
      <c r="F581" s="417"/>
      <c r="G581" s="417"/>
      <c r="H581" s="417"/>
      <c r="I581" s="417"/>
      <c r="J581" s="417"/>
      <c r="K581" s="417"/>
      <c r="L581" s="417"/>
      <c r="M581" s="417"/>
      <c r="N581" s="417"/>
      <c r="O581" s="417"/>
      <c r="P581" s="417"/>
      <c r="Q581" s="417"/>
      <c r="R581" s="417"/>
      <c r="S581" s="417"/>
      <c r="T581" s="417"/>
      <c r="U581" s="417"/>
      <c r="V581" s="417"/>
      <c r="W581" s="417"/>
      <c r="X581" s="417"/>
      <c r="Y581" s="417"/>
      <c r="Z581" s="417"/>
    </row>
    <row r="582" spans="1:26" ht="15.75">
      <c r="A582" s="417"/>
      <c r="B582" s="417"/>
      <c r="C582" s="417"/>
      <c r="D582" s="417"/>
      <c r="E582" s="417"/>
      <c r="F582" s="417"/>
      <c r="G582" s="417"/>
      <c r="H582" s="417"/>
      <c r="I582" s="417"/>
      <c r="J582" s="417"/>
      <c r="K582" s="417"/>
      <c r="L582" s="417"/>
      <c r="M582" s="417"/>
      <c r="N582" s="417"/>
      <c r="O582" s="417"/>
      <c r="P582" s="417"/>
      <c r="Q582" s="417"/>
      <c r="R582" s="417"/>
      <c r="S582" s="417"/>
      <c r="T582" s="417"/>
      <c r="U582" s="417"/>
      <c r="V582" s="417"/>
      <c r="W582" s="417"/>
      <c r="X582" s="417"/>
      <c r="Y582" s="417"/>
      <c r="Z582" s="417"/>
    </row>
    <row r="583" spans="1:26" ht="15.75">
      <c r="A583" s="417"/>
      <c r="B583" s="417"/>
      <c r="C583" s="417"/>
      <c r="D583" s="417"/>
      <c r="E583" s="417"/>
      <c r="F583" s="417"/>
      <c r="G583" s="417"/>
      <c r="H583" s="417"/>
      <c r="I583" s="417"/>
      <c r="J583" s="417"/>
      <c r="K583" s="417"/>
      <c r="L583" s="417"/>
      <c r="M583" s="417"/>
      <c r="N583" s="417"/>
      <c r="O583" s="417"/>
      <c r="P583" s="417"/>
      <c r="Q583" s="417"/>
      <c r="R583" s="417"/>
      <c r="S583" s="417"/>
      <c r="T583" s="417"/>
      <c r="U583" s="417"/>
      <c r="V583" s="417"/>
      <c r="W583" s="417"/>
      <c r="X583" s="417"/>
      <c r="Y583" s="417"/>
      <c r="Z583" s="417"/>
    </row>
    <row r="584" spans="1:26" ht="15.75">
      <c r="A584" s="417"/>
      <c r="B584" s="417"/>
      <c r="C584" s="417"/>
      <c r="D584" s="417"/>
      <c r="E584" s="417"/>
      <c r="F584" s="417"/>
      <c r="G584" s="417"/>
      <c r="H584" s="417"/>
      <c r="I584" s="417"/>
      <c r="J584" s="417"/>
      <c r="K584" s="417"/>
      <c r="L584" s="417"/>
      <c r="M584" s="417"/>
      <c r="N584" s="417"/>
      <c r="O584" s="417"/>
      <c r="P584" s="417"/>
      <c r="Q584" s="417"/>
      <c r="R584" s="417"/>
      <c r="S584" s="417"/>
      <c r="T584" s="417"/>
      <c r="U584" s="417"/>
      <c r="V584" s="417"/>
      <c r="W584" s="417"/>
      <c r="X584" s="417"/>
      <c r="Y584" s="417"/>
      <c r="Z584" s="417"/>
    </row>
    <row r="585" spans="1:26" ht="15.75">
      <c r="A585" s="417"/>
      <c r="B585" s="417"/>
      <c r="C585" s="417"/>
      <c r="D585" s="417"/>
      <c r="E585" s="417"/>
      <c r="F585" s="417"/>
      <c r="G585" s="417"/>
      <c r="H585" s="417"/>
      <c r="I585" s="417"/>
      <c r="J585" s="417"/>
      <c r="K585" s="417"/>
      <c r="L585" s="417"/>
      <c r="M585" s="417"/>
      <c r="N585" s="417"/>
      <c r="O585" s="417"/>
      <c r="P585" s="417"/>
      <c r="Q585" s="417"/>
      <c r="R585" s="417"/>
      <c r="S585" s="417"/>
      <c r="T585" s="417"/>
      <c r="U585" s="417"/>
      <c r="V585" s="417"/>
      <c r="W585" s="417"/>
      <c r="X585" s="417"/>
      <c r="Y585" s="417"/>
      <c r="Z585" s="417"/>
    </row>
    <row r="586" spans="1:26" ht="15.75">
      <c r="A586" s="417"/>
      <c r="B586" s="417"/>
      <c r="C586" s="417"/>
      <c r="D586" s="417"/>
      <c r="E586" s="417"/>
      <c r="F586" s="417"/>
      <c r="G586" s="417"/>
      <c r="H586" s="417"/>
      <c r="I586" s="417"/>
      <c r="J586" s="417"/>
      <c r="K586" s="417"/>
      <c r="L586" s="417"/>
      <c r="M586" s="417"/>
      <c r="N586" s="417"/>
      <c r="O586" s="417"/>
      <c r="P586" s="417"/>
      <c r="Q586" s="417"/>
      <c r="R586" s="417"/>
      <c r="S586" s="417"/>
      <c r="T586" s="417"/>
      <c r="U586" s="417"/>
      <c r="V586" s="417"/>
      <c r="W586" s="417"/>
      <c r="X586" s="417"/>
      <c r="Y586" s="417"/>
      <c r="Z586" s="417"/>
    </row>
    <row r="587" spans="1:26" ht="15.75">
      <c r="A587" s="417"/>
      <c r="B587" s="417"/>
      <c r="C587" s="417"/>
      <c r="D587" s="417"/>
      <c r="E587" s="417"/>
      <c r="F587" s="417"/>
      <c r="G587" s="417"/>
      <c r="H587" s="417"/>
      <c r="I587" s="417"/>
      <c r="J587" s="417"/>
      <c r="K587" s="417"/>
      <c r="L587" s="417"/>
      <c r="M587" s="417"/>
      <c r="N587" s="417"/>
      <c r="O587" s="417"/>
      <c r="P587" s="417"/>
      <c r="Q587" s="417"/>
      <c r="R587" s="417"/>
      <c r="S587" s="417"/>
      <c r="T587" s="417"/>
      <c r="U587" s="417"/>
      <c r="V587" s="417"/>
      <c r="W587" s="417"/>
      <c r="X587" s="417"/>
      <c r="Y587" s="417"/>
      <c r="Z587" s="417"/>
    </row>
    <row r="588" spans="1:26" ht="15.75">
      <c r="A588" s="417"/>
      <c r="B588" s="417"/>
      <c r="C588" s="417"/>
      <c r="D588" s="417"/>
      <c r="E588" s="417"/>
      <c r="F588" s="417"/>
      <c r="G588" s="417"/>
      <c r="H588" s="417"/>
      <c r="I588" s="417"/>
      <c r="J588" s="417"/>
      <c r="K588" s="417"/>
      <c r="L588" s="417"/>
      <c r="M588" s="417"/>
      <c r="N588" s="417"/>
      <c r="O588" s="417"/>
      <c r="P588" s="417"/>
      <c r="Q588" s="417"/>
      <c r="R588" s="417"/>
      <c r="S588" s="417"/>
      <c r="T588" s="417"/>
      <c r="U588" s="417"/>
      <c r="V588" s="417"/>
      <c r="W588" s="417"/>
      <c r="X588" s="417"/>
      <c r="Y588" s="417"/>
      <c r="Z588" s="417"/>
    </row>
    <row r="589" spans="1:26" ht="15.75">
      <c r="A589" s="417"/>
      <c r="B589" s="417"/>
      <c r="C589" s="417"/>
      <c r="D589" s="417"/>
      <c r="E589" s="417"/>
      <c r="F589" s="417"/>
      <c r="G589" s="417"/>
      <c r="H589" s="417"/>
      <c r="I589" s="417"/>
      <c r="J589" s="417"/>
      <c r="K589" s="417"/>
      <c r="L589" s="417"/>
      <c r="M589" s="417"/>
      <c r="N589" s="417"/>
      <c r="O589" s="417"/>
      <c r="P589" s="417"/>
      <c r="Q589" s="417"/>
      <c r="R589" s="417"/>
      <c r="S589" s="417"/>
      <c r="T589" s="417"/>
      <c r="U589" s="417"/>
      <c r="V589" s="417"/>
      <c r="W589" s="417"/>
      <c r="X589" s="417"/>
      <c r="Y589" s="417"/>
      <c r="Z589" s="417"/>
    </row>
    <row r="590" spans="1:26" ht="15.75">
      <c r="A590" s="417"/>
      <c r="B590" s="417"/>
      <c r="C590" s="417"/>
      <c r="D590" s="417"/>
      <c r="E590" s="417"/>
      <c r="F590" s="417"/>
      <c r="G590" s="417"/>
      <c r="H590" s="417"/>
      <c r="I590" s="417"/>
      <c r="J590" s="417"/>
      <c r="K590" s="417"/>
      <c r="L590" s="417"/>
      <c r="M590" s="417"/>
      <c r="N590" s="417"/>
      <c r="O590" s="417"/>
      <c r="P590" s="417"/>
      <c r="Q590" s="417"/>
      <c r="R590" s="417"/>
      <c r="S590" s="417"/>
      <c r="T590" s="417"/>
      <c r="U590" s="417"/>
      <c r="V590" s="417"/>
      <c r="W590" s="417"/>
      <c r="X590" s="417"/>
      <c r="Y590" s="417"/>
      <c r="Z590" s="417"/>
    </row>
    <row r="591" spans="1:26" ht="15.75">
      <c r="A591" s="417"/>
      <c r="B591" s="417"/>
      <c r="C591" s="417"/>
      <c r="D591" s="417"/>
      <c r="E591" s="417"/>
      <c r="F591" s="417"/>
      <c r="G591" s="417"/>
      <c r="H591" s="417"/>
      <c r="I591" s="417"/>
      <c r="J591" s="417"/>
      <c r="K591" s="417"/>
      <c r="L591" s="417"/>
      <c r="M591" s="417"/>
      <c r="N591" s="417"/>
      <c r="O591" s="417"/>
      <c r="P591" s="417"/>
      <c r="Q591" s="417"/>
      <c r="R591" s="417"/>
      <c r="S591" s="417"/>
      <c r="T591" s="417"/>
      <c r="U591" s="417"/>
      <c r="V591" s="417"/>
      <c r="W591" s="417"/>
      <c r="X591" s="417"/>
      <c r="Y591" s="417"/>
      <c r="Z591" s="417"/>
    </row>
    <row r="592" spans="1:26" ht="15.75">
      <c r="A592" s="417"/>
      <c r="B592" s="417"/>
      <c r="C592" s="417"/>
      <c r="D592" s="417"/>
      <c r="E592" s="417"/>
      <c r="F592" s="417"/>
      <c r="G592" s="417"/>
      <c r="H592" s="417"/>
      <c r="I592" s="417"/>
      <c r="J592" s="417"/>
      <c r="K592" s="417"/>
      <c r="L592" s="417"/>
      <c r="M592" s="417"/>
      <c r="N592" s="417"/>
      <c r="O592" s="417"/>
      <c r="P592" s="417"/>
      <c r="Q592" s="417"/>
      <c r="R592" s="417"/>
      <c r="S592" s="417"/>
      <c r="T592" s="417"/>
      <c r="U592" s="417"/>
      <c r="V592" s="417"/>
      <c r="W592" s="417"/>
      <c r="X592" s="417"/>
      <c r="Y592" s="417"/>
      <c r="Z592" s="417"/>
    </row>
    <row r="593" spans="1:26" ht="15.75">
      <c r="A593" s="417"/>
      <c r="B593" s="417"/>
      <c r="C593" s="417"/>
      <c r="D593" s="417"/>
      <c r="E593" s="417"/>
      <c r="F593" s="417"/>
      <c r="G593" s="417"/>
      <c r="H593" s="417"/>
      <c r="I593" s="417"/>
      <c r="J593" s="417"/>
      <c r="K593" s="417"/>
      <c r="L593" s="417"/>
      <c r="M593" s="417"/>
      <c r="N593" s="417"/>
      <c r="O593" s="417"/>
      <c r="P593" s="417"/>
      <c r="Q593" s="417"/>
      <c r="R593" s="417"/>
      <c r="S593" s="417"/>
      <c r="T593" s="417"/>
      <c r="U593" s="417"/>
      <c r="V593" s="417"/>
      <c r="W593" s="417"/>
      <c r="X593" s="417"/>
      <c r="Y593" s="417"/>
      <c r="Z593" s="417"/>
    </row>
    <row r="594" spans="1:26" ht="15.75">
      <c r="A594" s="417"/>
      <c r="B594" s="417"/>
      <c r="C594" s="417"/>
      <c r="D594" s="417"/>
      <c r="E594" s="417"/>
      <c r="F594" s="417"/>
      <c r="G594" s="417"/>
      <c r="H594" s="417"/>
      <c r="I594" s="417"/>
      <c r="J594" s="417"/>
      <c r="K594" s="417"/>
      <c r="L594" s="417"/>
      <c r="M594" s="417"/>
      <c r="N594" s="417"/>
      <c r="O594" s="417"/>
      <c r="P594" s="417"/>
      <c r="Q594" s="417"/>
      <c r="R594" s="417"/>
      <c r="S594" s="417"/>
      <c r="T594" s="417"/>
      <c r="U594" s="417"/>
      <c r="V594" s="417"/>
      <c r="W594" s="417"/>
      <c r="X594" s="417"/>
      <c r="Y594" s="417"/>
      <c r="Z594" s="417"/>
    </row>
    <row r="595" spans="1:26" ht="15.75">
      <c r="A595" s="417"/>
      <c r="B595" s="417"/>
      <c r="C595" s="417"/>
      <c r="D595" s="417"/>
      <c r="E595" s="417"/>
      <c r="F595" s="417"/>
      <c r="G595" s="417"/>
      <c r="H595" s="417"/>
      <c r="I595" s="417"/>
      <c r="J595" s="417"/>
      <c r="K595" s="417"/>
      <c r="L595" s="417"/>
      <c r="M595" s="417"/>
      <c r="N595" s="417"/>
      <c r="O595" s="417"/>
      <c r="P595" s="417"/>
      <c r="Q595" s="417"/>
      <c r="R595" s="417"/>
      <c r="S595" s="417"/>
      <c r="T595" s="417"/>
      <c r="U595" s="417"/>
      <c r="V595" s="417"/>
      <c r="W595" s="417"/>
      <c r="X595" s="417"/>
      <c r="Y595" s="417"/>
      <c r="Z595" s="417"/>
    </row>
    <row r="596" spans="1:26" ht="15.75">
      <c r="A596" s="417"/>
      <c r="B596" s="417"/>
      <c r="C596" s="417"/>
      <c r="D596" s="417"/>
      <c r="E596" s="417"/>
      <c r="F596" s="417"/>
      <c r="G596" s="417"/>
      <c r="H596" s="417"/>
      <c r="I596" s="417"/>
      <c r="J596" s="417"/>
      <c r="K596" s="417"/>
      <c r="L596" s="417"/>
      <c r="M596" s="417"/>
      <c r="N596" s="417"/>
      <c r="O596" s="417"/>
      <c r="P596" s="417"/>
      <c r="Q596" s="417"/>
      <c r="R596" s="417"/>
      <c r="S596" s="417"/>
      <c r="T596" s="417"/>
      <c r="U596" s="417"/>
      <c r="V596" s="417"/>
      <c r="W596" s="417"/>
      <c r="X596" s="417"/>
      <c r="Y596" s="417"/>
      <c r="Z596" s="417"/>
    </row>
    <row r="597" spans="1:26" ht="15.75">
      <c r="A597" s="417"/>
      <c r="B597" s="417"/>
      <c r="C597" s="417"/>
      <c r="D597" s="417"/>
      <c r="E597" s="417"/>
      <c r="F597" s="417"/>
      <c r="G597" s="417"/>
      <c r="H597" s="417"/>
      <c r="I597" s="417"/>
      <c r="J597" s="417"/>
      <c r="K597" s="417"/>
      <c r="L597" s="417"/>
      <c r="M597" s="417"/>
      <c r="N597" s="417"/>
      <c r="O597" s="417"/>
      <c r="P597" s="417"/>
      <c r="Q597" s="417"/>
      <c r="R597" s="417"/>
      <c r="S597" s="417"/>
      <c r="T597" s="417"/>
      <c r="U597" s="417"/>
      <c r="V597" s="417"/>
      <c r="W597" s="417"/>
      <c r="X597" s="417"/>
      <c r="Y597" s="417"/>
      <c r="Z597" s="417"/>
    </row>
    <row r="598" spans="1:26" ht="15.75">
      <c r="A598" s="417"/>
      <c r="B598" s="417"/>
      <c r="C598" s="417"/>
      <c r="D598" s="417"/>
      <c r="E598" s="417"/>
      <c r="F598" s="417"/>
      <c r="G598" s="417"/>
      <c r="H598" s="417"/>
      <c r="I598" s="417"/>
      <c r="J598" s="417"/>
      <c r="K598" s="417"/>
      <c r="L598" s="417"/>
      <c r="M598" s="417"/>
      <c r="N598" s="417"/>
      <c r="O598" s="417"/>
      <c r="P598" s="417"/>
      <c r="Q598" s="417"/>
      <c r="R598" s="417"/>
      <c r="S598" s="417"/>
      <c r="T598" s="417"/>
      <c r="U598" s="417"/>
      <c r="V598" s="417"/>
      <c r="W598" s="417"/>
      <c r="X598" s="417"/>
      <c r="Y598" s="417"/>
      <c r="Z598" s="417"/>
    </row>
    <row r="599" spans="1:26" ht="15.75">
      <c r="A599" s="417"/>
      <c r="B599" s="417"/>
      <c r="C599" s="417"/>
      <c r="D599" s="417"/>
      <c r="E599" s="417"/>
      <c r="F599" s="417"/>
      <c r="G599" s="417"/>
      <c r="H599" s="417"/>
      <c r="I599" s="417"/>
      <c r="J599" s="417"/>
      <c r="K599" s="417"/>
      <c r="L599" s="417"/>
      <c r="M599" s="417"/>
      <c r="N599" s="417"/>
      <c r="O599" s="417"/>
      <c r="P599" s="417"/>
      <c r="Q599" s="417"/>
      <c r="R599" s="417"/>
      <c r="S599" s="417"/>
      <c r="T599" s="417"/>
      <c r="U599" s="417"/>
      <c r="V599" s="417"/>
      <c r="W599" s="417"/>
      <c r="X599" s="417"/>
      <c r="Y599" s="417"/>
      <c r="Z599" s="417"/>
    </row>
    <row r="600" spans="1:26" ht="15.75">
      <c r="A600" s="417"/>
      <c r="B600" s="417"/>
      <c r="C600" s="417"/>
      <c r="D600" s="417"/>
      <c r="E600" s="417"/>
      <c r="F600" s="417"/>
      <c r="G600" s="417"/>
      <c r="H600" s="417"/>
      <c r="I600" s="417"/>
      <c r="J600" s="417"/>
      <c r="K600" s="417"/>
      <c r="L600" s="417"/>
      <c r="M600" s="417"/>
      <c r="N600" s="417"/>
      <c r="O600" s="417"/>
      <c r="P600" s="417"/>
      <c r="Q600" s="417"/>
      <c r="R600" s="417"/>
      <c r="S600" s="417"/>
      <c r="T600" s="417"/>
      <c r="U600" s="417"/>
      <c r="V600" s="417"/>
      <c r="W600" s="417"/>
      <c r="X600" s="417"/>
      <c r="Y600" s="417"/>
      <c r="Z600" s="417"/>
    </row>
    <row r="601" spans="1:26" ht="15.75">
      <c r="A601" s="417"/>
      <c r="B601" s="417"/>
      <c r="C601" s="417"/>
      <c r="D601" s="417"/>
      <c r="E601" s="417"/>
      <c r="F601" s="417"/>
      <c r="G601" s="417"/>
      <c r="H601" s="417"/>
      <c r="I601" s="417"/>
      <c r="J601" s="417"/>
      <c r="K601" s="417"/>
      <c r="L601" s="417"/>
      <c r="M601" s="417"/>
      <c r="N601" s="417"/>
      <c r="O601" s="417"/>
      <c r="P601" s="417"/>
      <c r="Q601" s="417"/>
      <c r="R601" s="417"/>
      <c r="S601" s="417"/>
      <c r="T601" s="417"/>
      <c r="U601" s="417"/>
      <c r="V601" s="417"/>
      <c r="W601" s="417"/>
      <c r="X601" s="417"/>
      <c r="Y601" s="417"/>
      <c r="Z601" s="417"/>
    </row>
    <row r="602" spans="1:26" ht="15.75">
      <c r="A602" s="417"/>
      <c r="B602" s="417"/>
      <c r="C602" s="417"/>
      <c r="D602" s="417"/>
      <c r="E602" s="417"/>
      <c r="F602" s="417"/>
      <c r="G602" s="417"/>
      <c r="H602" s="417"/>
      <c r="I602" s="417"/>
      <c r="J602" s="417"/>
      <c r="K602" s="417"/>
      <c r="L602" s="417"/>
      <c r="M602" s="417"/>
      <c r="N602" s="417"/>
      <c r="O602" s="417"/>
      <c r="P602" s="417"/>
      <c r="Q602" s="417"/>
      <c r="R602" s="417"/>
      <c r="S602" s="417"/>
      <c r="T602" s="417"/>
      <c r="U602" s="417"/>
      <c r="V602" s="417"/>
      <c r="W602" s="417"/>
      <c r="X602" s="417"/>
      <c r="Y602" s="417"/>
      <c r="Z602" s="417"/>
    </row>
    <row r="603" spans="1:26" ht="15.75">
      <c r="A603" s="417"/>
      <c r="B603" s="417"/>
      <c r="C603" s="417"/>
      <c r="D603" s="417"/>
      <c r="E603" s="417"/>
      <c r="F603" s="417"/>
      <c r="G603" s="417"/>
      <c r="H603" s="417"/>
      <c r="I603" s="417"/>
      <c r="J603" s="417"/>
      <c r="K603" s="417"/>
      <c r="L603" s="417"/>
      <c r="M603" s="417"/>
      <c r="N603" s="417"/>
      <c r="O603" s="417"/>
      <c r="P603" s="417"/>
      <c r="Q603" s="417"/>
      <c r="R603" s="417"/>
      <c r="S603" s="417"/>
      <c r="T603" s="417"/>
      <c r="U603" s="417"/>
      <c r="V603" s="417"/>
      <c r="W603" s="417"/>
      <c r="X603" s="417"/>
      <c r="Y603" s="417"/>
      <c r="Z603" s="417"/>
    </row>
    <row r="604" spans="1:26" ht="15.75">
      <c r="A604" s="417"/>
      <c r="B604" s="417"/>
      <c r="C604" s="417"/>
      <c r="D604" s="417"/>
      <c r="E604" s="417"/>
      <c r="F604" s="417"/>
      <c r="G604" s="417"/>
      <c r="H604" s="417"/>
      <c r="I604" s="417"/>
      <c r="J604" s="417"/>
      <c r="K604" s="417"/>
      <c r="L604" s="417"/>
      <c r="M604" s="417"/>
      <c r="N604" s="417"/>
      <c r="O604" s="417"/>
      <c r="P604" s="417"/>
      <c r="Q604" s="417"/>
      <c r="R604" s="417"/>
      <c r="S604" s="417"/>
      <c r="T604" s="417"/>
      <c r="U604" s="417"/>
      <c r="V604" s="417"/>
      <c r="W604" s="417"/>
      <c r="X604" s="417"/>
      <c r="Y604" s="417"/>
      <c r="Z604" s="417"/>
    </row>
    <row r="605" spans="1:26" ht="15.75">
      <c r="A605" s="417"/>
      <c r="B605" s="417"/>
      <c r="C605" s="417"/>
      <c r="D605" s="417"/>
      <c r="E605" s="417"/>
      <c r="F605" s="417"/>
      <c r="G605" s="417"/>
      <c r="H605" s="417"/>
      <c r="I605" s="417"/>
      <c r="J605" s="417"/>
      <c r="K605" s="417"/>
      <c r="L605" s="417"/>
      <c r="M605" s="417"/>
      <c r="N605" s="417"/>
      <c r="O605" s="417"/>
      <c r="P605" s="417"/>
      <c r="Q605" s="417"/>
      <c r="R605" s="417"/>
      <c r="S605" s="417"/>
      <c r="T605" s="417"/>
      <c r="U605" s="417"/>
      <c r="V605" s="417"/>
      <c r="W605" s="417"/>
      <c r="X605" s="417"/>
      <c r="Y605" s="417"/>
      <c r="Z605" s="417"/>
    </row>
    <row r="606" spans="1:26" ht="15.75">
      <c r="A606" s="417"/>
      <c r="B606" s="417"/>
      <c r="C606" s="417"/>
      <c r="D606" s="417"/>
      <c r="E606" s="417"/>
      <c r="F606" s="417"/>
      <c r="G606" s="417"/>
      <c r="H606" s="417"/>
      <c r="I606" s="417"/>
      <c r="J606" s="417"/>
      <c r="K606" s="417"/>
      <c r="L606" s="417"/>
      <c r="M606" s="417"/>
      <c r="N606" s="417"/>
      <c r="O606" s="417"/>
      <c r="P606" s="417"/>
      <c r="Q606" s="417"/>
      <c r="R606" s="417"/>
      <c r="S606" s="417"/>
      <c r="T606" s="417"/>
      <c r="U606" s="417"/>
      <c r="V606" s="417"/>
      <c r="W606" s="417"/>
      <c r="X606" s="417"/>
      <c r="Y606" s="417"/>
      <c r="Z606" s="417"/>
    </row>
    <row r="607" spans="1:26" ht="15.75">
      <c r="A607" s="417"/>
      <c r="B607" s="417"/>
      <c r="C607" s="417"/>
      <c r="D607" s="417"/>
      <c r="E607" s="417"/>
      <c r="F607" s="417"/>
      <c r="G607" s="417"/>
      <c r="H607" s="417"/>
      <c r="I607" s="417"/>
      <c r="J607" s="417"/>
      <c r="K607" s="417"/>
      <c r="L607" s="417"/>
      <c r="M607" s="417"/>
      <c r="N607" s="417"/>
      <c r="O607" s="417"/>
      <c r="P607" s="417"/>
      <c r="Q607" s="417"/>
      <c r="R607" s="417"/>
      <c r="S607" s="417"/>
      <c r="T607" s="417"/>
      <c r="U607" s="417"/>
      <c r="V607" s="417"/>
      <c r="W607" s="417"/>
      <c r="X607" s="417"/>
      <c r="Y607" s="417"/>
      <c r="Z607" s="417"/>
    </row>
    <row r="608" spans="1:26" ht="15.75">
      <c r="A608" s="417"/>
      <c r="B608" s="417"/>
      <c r="C608" s="417"/>
      <c r="D608" s="417"/>
      <c r="E608" s="417"/>
      <c r="F608" s="417"/>
      <c r="G608" s="417"/>
      <c r="H608" s="417"/>
      <c r="I608" s="417"/>
      <c r="J608" s="417"/>
      <c r="K608" s="417"/>
      <c r="L608" s="417"/>
      <c r="M608" s="417"/>
      <c r="N608" s="417"/>
      <c r="O608" s="417"/>
      <c r="P608" s="417"/>
      <c r="Q608" s="417"/>
      <c r="R608" s="417"/>
      <c r="S608" s="417"/>
      <c r="T608" s="417"/>
      <c r="U608" s="417"/>
      <c r="V608" s="417"/>
      <c r="W608" s="417"/>
      <c r="X608" s="417"/>
      <c r="Y608" s="417"/>
      <c r="Z608" s="417"/>
    </row>
    <row r="609" spans="1:26" ht="15.75">
      <c r="A609" s="417"/>
      <c r="B609" s="417"/>
      <c r="C609" s="417"/>
      <c r="D609" s="417"/>
      <c r="E609" s="417"/>
      <c r="F609" s="417"/>
      <c r="G609" s="417"/>
      <c r="H609" s="417"/>
      <c r="I609" s="417"/>
      <c r="J609" s="417"/>
      <c r="K609" s="417"/>
      <c r="L609" s="417"/>
      <c r="M609" s="417"/>
      <c r="N609" s="417"/>
      <c r="O609" s="417"/>
      <c r="P609" s="417"/>
      <c r="Q609" s="417"/>
      <c r="R609" s="417"/>
      <c r="S609" s="417"/>
      <c r="T609" s="417"/>
      <c r="U609" s="417"/>
      <c r="V609" s="417"/>
      <c r="W609" s="417"/>
      <c r="X609" s="417"/>
      <c r="Y609" s="417"/>
      <c r="Z609" s="417"/>
    </row>
    <row r="610" spans="1:26" ht="15.75">
      <c r="A610" s="417"/>
      <c r="B610" s="417"/>
      <c r="C610" s="417"/>
      <c r="D610" s="417"/>
      <c r="E610" s="417"/>
      <c r="F610" s="417"/>
      <c r="G610" s="417"/>
      <c r="H610" s="417"/>
      <c r="I610" s="417"/>
      <c r="J610" s="417"/>
      <c r="K610" s="417"/>
      <c r="L610" s="417"/>
      <c r="M610" s="417"/>
      <c r="N610" s="417"/>
      <c r="O610" s="417"/>
      <c r="P610" s="417"/>
      <c r="Q610" s="417"/>
      <c r="R610" s="417"/>
      <c r="S610" s="417"/>
      <c r="T610" s="417"/>
      <c r="U610" s="417"/>
      <c r="V610" s="417"/>
      <c r="W610" s="417"/>
      <c r="X610" s="417"/>
      <c r="Y610" s="417"/>
      <c r="Z610" s="417"/>
    </row>
    <row r="611" spans="1:26" ht="15.75">
      <c r="A611" s="417"/>
      <c r="B611" s="417"/>
      <c r="C611" s="417"/>
      <c r="D611" s="417"/>
      <c r="E611" s="417"/>
      <c r="F611" s="417"/>
      <c r="G611" s="417"/>
      <c r="H611" s="417"/>
      <c r="I611" s="417"/>
      <c r="J611" s="417"/>
      <c r="K611" s="417"/>
      <c r="L611" s="417"/>
      <c r="M611" s="417"/>
      <c r="N611" s="417"/>
      <c r="O611" s="417"/>
      <c r="P611" s="417"/>
      <c r="Q611" s="417"/>
      <c r="R611" s="417"/>
      <c r="S611" s="417"/>
      <c r="T611" s="417"/>
      <c r="U611" s="417"/>
      <c r="V611" s="417"/>
      <c r="W611" s="417"/>
      <c r="X611" s="417"/>
      <c r="Y611" s="417"/>
      <c r="Z611" s="417"/>
    </row>
    <row r="612" spans="1:26" ht="15.75">
      <c r="A612" s="417"/>
      <c r="B612" s="417"/>
      <c r="C612" s="417"/>
      <c r="D612" s="417"/>
      <c r="E612" s="417"/>
      <c r="F612" s="417"/>
      <c r="G612" s="417"/>
      <c r="H612" s="417"/>
      <c r="I612" s="417"/>
      <c r="J612" s="417"/>
      <c r="K612" s="417"/>
      <c r="L612" s="417"/>
      <c r="M612" s="417"/>
      <c r="N612" s="417"/>
      <c r="O612" s="417"/>
      <c r="P612" s="417"/>
      <c r="Q612" s="417"/>
      <c r="R612" s="417"/>
      <c r="S612" s="417"/>
      <c r="T612" s="417"/>
      <c r="U612" s="417"/>
      <c r="V612" s="417"/>
      <c r="W612" s="417"/>
      <c r="X612" s="417"/>
      <c r="Y612" s="417"/>
      <c r="Z612" s="417"/>
    </row>
    <row r="613" spans="1:26" ht="15.75">
      <c r="A613" s="417"/>
      <c r="B613" s="417"/>
      <c r="C613" s="417"/>
      <c r="D613" s="417"/>
      <c r="E613" s="417"/>
      <c r="F613" s="417"/>
      <c r="G613" s="417"/>
      <c r="H613" s="417"/>
      <c r="I613" s="417"/>
      <c r="J613" s="417"/>
      <c r="K613" s="417"/>
      <c r="L613" s="417"/>
      <c r="M613" s="417"/>
      <c r="N613" s="417"/>
      <c r="O613" s="417"/>
      <c r="P613" s="417"/>
      <c r="Q613" s="417"/>
      <c r="R613" s="417"/>
      <c r="S613" s="417"/>
      <c r="T613" s="417"/>
      <c r="U613" s="417"/>
      <c r="V613" s="417"/>
      <c r="W613" s="417"/>
      <c r="X613" s="417"/>
      <c r="Y613" s="417"/>
      <c r="Z613" s="417"/>
    </row>
    <row r="614" spans="1:26" ht="15.75">
      <c r="A614" s="417"/>
      <c r="B614" s="417"/>
      <c r="C614" s="417"/>
      <c r="D614" s="417"/>
      <c r="E614" s="417"/>
      <c r="F614" s="417"/>
      <c r="G614" s="417"/>
      <c r="H614" s="417"/>
      <c r="I614" s="417"/>
      <c r="J614" s="417"/>
      <c r="K614" s="417"/>
      <c r="L614" s="417"/>
      <c r="M614" s="417"/>
      <c r="N614" s="417"/>
      <c r="O614" s="417"/>
      <c r="P614" s="417"/>
      <c r="Q614" s="417"/>
      <c r="R614" s="417"/>
      <c r="S614" s="417"/>
      <c r="T614" s="417"/>
      <c r="U614" s="417"/>
      <c r="V614" s="417"/>
      <c r="W614" s="417"/>
      <c r="X614" s="417"/>
      <c r="Y614" s="417"/>
      <c r="Z614" s="417"/>
    </row>
    <row r="615" spans="1:26" ht="15.75">
      <c r="A615" s="417"/>
      <c r="B615" s="417"/>
      <c r="C615" s="417"/>
      <c r="D615" s="417"/>
      <c r="E615" s="417"/>
      <c r="F615" s="417"/>
      <c r="G615" s="417"/>
      <c r="H615" s="417"/>
      <c r="I615" s="417"/>
      <c r="J615" s="417"/>
      <c r="K615" s="417"/>
      <c r="L615" s="417"/>
      <c r="M615" s="417"/>
      <c r="N615" s="417"/>
      <c r="O615" s="417"/>
      <c r="P615" s="417"/>
      <c r="Q615" s="417"/>
      <c r="R615" s="417"/>
      <c r="S615" s="417"/>
      <c r="T615" s="417"/>
      <c r="U615" s="417"/>
      <c r="V615" s="417"/>
      <c r="W615" s="417"/>
      <c r="X615" s="417"/>
      <c r="Y615" s="417"/>
      <c r="Z615" s="417"/>
    </row>
    <row r="616" spans="1:26" ht="15.75">
      <c r="A616" s="417"/>
      <c r="B616" s="417"/>
      <c r="C616" s="417"/>
      <c r="D616" s="417"/>
      <c r="E616" s="417"/>
      <c r="F616" s="417"/>
      <c r="G616" s="417"/>
      <c r="H616" s="417"/>
      <c r="I616" s="417"/>
      <c r="J616" s="417"/>
      <c r="K616" s="417"/>
      <c r="L616" s="417"/>
      <c r="M616" s="417"/>
      <c r="N616" s="417"/>
      <c r="O616" s="417"/>
      <c r="P616" s="417"/>
      <c r="Q616" s="417"/>
      <c r="R616" s="417"/>
      <c r="S616" s="417"/>
      <c r="T616" s="417"/>
      <c r="U616" s="417"/>
      <c r="V616" s="417"/>
      <c r="W616" s="417"/>
      <c r="X616" s="417"/>
      <c r="Y616" s="417"/>
      <c r="Z616" s="417"/>
    </row>
    <row r="617" spans="1:26" ht="15.75">
      <c r="A617" s="417"/>
      <c r="B617" s="417"/>
      <c r="C617" s="417"/>
      <c r="D617" s="417"/>
      <c r="E617" s="417"/>
      <c r="F617" s="417"/>
      <c r="G617" s="417"/>
      <c r="H617" s="417"/>
      <c r="I617" s="417"/>
      <c r="J617" s="417"/>
      <c r="K617" s="417"/>
      <c r="L617" s="417"/>
      <c r="M617" s="417"/>
      <c r="N617" s="417"/>
      <c r="O617" s="417"/>
      <c r="P617" s="417"/>
      <c r="Q617" s="417"/>
      <c r="R617" s="417"/>
      <c r="S617" s="417"/>
      <c r="T617" s="417"/>
      <c r="U617" s="417"/>
      <c r="V617" s="417"/>
      <c r="W617" s="417"/>
      <c r="X617" s="417"/>
      <c r="Y617" s="417"/>
      <c r="Z617" s="417"/>
    </row>
    <row r="618" spans="1:26" ht="15.75">
      <c r="A618" s="417"/>
      <c r="B618" s="417"/>
      <c r="C618" s="417"/>
      <c r="D618" s="417"/>
      <c r="E618" s="417"/>
      <c r="F618" s="417"/>
      <c r="G618" s="417"/>
      <c r="H618" s="417"/>
      <c r="I618" s="417"/>
      <c r="J618" s="417"/>
      <c r="K618" s="417"/>
      <c r="L618" s="417"/>
      <c r="M618" s="417"/>
      <c r="N618" s="417"/>
      <c r="O618" s="417"/>
      <c r="P618" s="417"/>
      <c r="Q618" s="417"/>
      <c r="R618" s="417"/>
      <c r="S618" s="417"/>
      <c r="T618" s="417"/>
      <c r="U618" s="417"/>
      <c r="V618" s="417"/>
      <c r="W618" s="417"/>
      <c r="X618" s="417"/>
      <c r="Y618" s="417"/>
      <c r="Z618" s="417"/>
    </row>
    <row r="619" spans="1:26" ht="15.75">
      <c r="A619" s="417"/>
      <c r="B619" s="417"/>
      <c r="C619" s="417"/>
      <c r="D619" s="417"/>
      <c r="E619" s="417"/>
      <c r="F619" s="417"/>
      <c r="G619" s="417"/>
      <c r="H619" s="417"/>
      <c r="I619" s="417"/>
      <c r="J619" s="417"/>
      <c r="K619" s="417"/>
      <c r="L619" s="417"/>
      <c r="M619" s="417"/>
      <c r="N619" s="417"/>
      <c r="O619" s="417"/>
      <c r="P619" s="417"/>
      <c r="Q619" s="417"/>
      <c r="R619" s="417"/>
      <c r="S619" s="417"/>
      <c r="T619" s="417"/>
      <c r="U619" s="417"/>
      <c r="V619" s="417"/>
      <c r="W619" s="417"/>
      <c r="X619" s="417"/>
      <c r="Y619" s="417"/>
      <c r="Z619" s="417"/>
    </row>
    <row r="620" spans="1:26" ht="15.75">
      <c r="A620" s="417"/>
      <c r="B620" s="417"/>
      <c r="C620" s="417"/>
      <c r="D620" s="417"/>
      <c r="E620" s="417"/>
      <c r="F620" s="417"/>
      <c r="G620" s="417"/>
      <c r="H620" s="417"/>
      <c r="I620" s="417"/>
      <c r="J620" s="417"/>
      <c r="K620" s="417"/>
      <c r="L620" s="417"/>
      <c r="M620" s="417"/>
      <c r="N620" s="417"/>
      <c r="O620" s="417"/>
      <c r="P620" s="417"/>
      <c r="Q620" s="417"/>
      <c r="R620" s="417"/>
      <c r="S620" s="417"/>
      <c r="T620" s="417"/>
      <c r="U620" s="417"/>
      <c r="V620" s="417"/>
      <c r="W620" s="417"/>
      <c r="X620" s="417"/>
      <c r="Y620" s="417"/>
      <c r="Z620" s="417"/>
    </row>
    <row r="621" spans="1:26" ht="15.75">
      <c r="A621" s="417"/>
      <c r="B621" s="417"/>
      <c r="C621" s="417"/>
      <c r="D621" s="417"/>
      <c r="E621" s="417"/>
      <c r="F621" s="417"/>
      <c r="G621" s="417"/>
      <c r="H621" s="417"/>
      <c r="I621" s="417"/>
      <c r="J621" s="417"/>
      <c r="K621" s="417"/>
      <c r="L621" s="417"/>
      <c r="M621" s="417"/>
      <c r="N621" s="417"/>
      <c r="O621" s="417"/>
      <c r="P621" s="417"/>
      <c r="Q621" s="417"/>
      <c r="R621" s="417"/>
      <c r="S621" s="417"/>
      <c r="T621" s="417"/>
      <c r="U621" s="417"/>
      <c r="V621" s="417"/>
      <c r="W621" s="417"/>
      <c r="X621" s="417"/>
      <c r="Y621" s="417"/>
      <c r="Z621" s="417"/>
    </row>
    <row r="622" spans="1:26" ht="15.75">
      <c r="A622" s="417"/>
      <c r="B622" s="417"/>
      <c r="C622" s="417"/>
      <c r="D622" s="417"/>
      <c r="E622" s="417"/>
      <c r="F622" s="417"/>
      <c r="G622" s="417"/>
      <c r="H622" s="417"/>
      <c r="I622" s="417"/>
      <c r="J622" s="417"/>
      <c r="K622" s="417"/>
      <c r="L622" s="417"/>
      <c r="M622" s="417"/>
      <c r="N622" s="417"/>
      <c r="O622" s="417"/>
      <c r="P622" s="417"/>
      <c r="Q622" s="417"/>
      <c r="R622" s="417"/>
      <c r="S622" s="417"/>
      <c r="T622" s="417"/>
      <c r="U622" s="417"/>
      <c r="V622" s="417"/>
      <c r="W622" s="417"/>
      <c r="X622" s="417"/>
      <c r="Y622" s="417"/>
      <c r="Z622" s="417"/>
    </row>
    <row r="623" spans="1:26" ht="15.75">
      <c r="A623" s="417"/>
      <c r="B623" s="417"/>
      <c r="C623" s="417"/>
      <c r="D623" s="417"/>
      <c r="E623" s="417"/>
      <c r="F623" s="417"/>
      <c r="G623" s="417"/>
      <c r="H623" s="417"/>
      <c r="I623" s="417"/>
      <c r="J623" s="417"/>
      <c r="K623" s="417"/>
      <c r="L623" s="417"/>
      <c r="M623" s="417"/>
      <c r="N623" s="417"/>
      <c r="O623" s="417"/>
      <c r="P623" s="417"/>
      <c r="Q623" s="417"/>
      <c r="R623" s="417"/>
      <c r="S623" s="417"/>
      <c r="T623" s="417"/>
      <c r="U623" s="417"/>
      <c r="V623" s="417"/>
      <c r="W623" s="417"/>
      <c r="X623" s="417"/>
      <c r="Y623" s="417"/>
      <c r="Z623" s="417"/>
    </row>
    <row r="624" spans="1:26" ht="15.75">
      <c r="A624" s="417"/>
      <c r="B624" s="417"/>
      <c r="C624" s="417"/>
      <c r="D624" s="417"/>
      <c r="E624" s="417"/>
      <c r="F624" s="417"/>
      <c r="G624" s="417"/>
      <c r="H624" s="417"/>
      <c r="I624" s="417"/>
      <c r="J624" s="417"/>
      <c r="K624" s="417"/>
      <c r="L624" s="417"/>
      <c r="M624" s="417"/>
      <c r="N624" s="417"/>
      <c r="O624" s="417"/>
      <c r="P624" s="417"/>
      <c r="Q624" s="417"/>
      <c r="R624" s="417"/>
      <c r="S624" s="417"/>
      <c r="T624" s="417"/>
      <c r="U624" s="417"/>
      <c r="V624" s="417"/>
      <c r="W624" s="417"/>
      <c r="X624" s="417"/>
      <c r="Y624" s="417"/>
      <c r="Z624" s="417"/>
    </row>
    <row r="625" spans="1:26" ht="15.75">
      <c r="A625" s="417"/>
      <c r="B625" s="417"/>
      <c r="C625" s="417"/>
      <c r="D625" s="417"/>
      <c r="E625" s="417"/>
      <c r="F625" s="417"/>
      <c r="G625" s="417"/>
      <c r="H625" s="417"/>
      <c r="I625" s="417"/>
      <c r="J625" s="417"/>
      <c r="K625" s="417"/>
      <c r="L625" s="417"/>
      <c r="M625" s="417"/>
      <c r="N625" s="417"/>
      <c r="O625" s="417"/>
      <c r="P625" s="417"/>
      <c r="Q625" s="417"/>
      <c r="R625" s="417"/>
      <c r="S625" s="417"/>
      <c r="T625" s="417"/>
      <c r="U625" s="417"/>
      <c r="V625" s="417"/>
      <c r="W625" s="417"/>
      <c r="X625" s="417"/>
      <c r="Y625" s="417"/>
      <c r="Z625" s="417"/>
    </row>
    <row r="626" spans="1:26" ht="15.75">
      <c r="A626" s="417"/>
      <c r="B626" s="417"/>
      <c r="C626" s="417"/>
      <c r="D626" s="417"/>
      <c r="E626" s="417"/>
      <c r="F626" s="417"/>
      <c r="G626" s="417"/>
      <c r="H626" s="417"/>
      <c r="I626" s="417"/>
      <c r="J626" s="417"/>
      <c r="K626" s="417"/>
      <c r="L626" s="417"/>
      <c r="M626" s="417"/>
      <c r="N626" s="417"/>
      <c r="O626" s="417"/>
      <c r="P626" s="417"/>
      <c r="Q626" s="417"/>
      <c r="R626" s="417"/>
      <c r="S626" s="417"/>
      <c r="T626" s="417"/>
      <c r="U626" s="417"/>
      <c r="V626" s="417"/>
      <c r="W626" s="417"/>
      <c r="X626" s="417"/>
      <c r="Y626" s="417"/>
      <c r="Z626" s="417"/>
    </row>
    <row r="627" spans="1:26" ht="15.75">
      <c r="A627" s="417"/>
      <c r="B627" s="417"/>
      <c r="C627" s="417"/>
      <c r="D627" s="417"/>
      <c r="E627" s="417"/>
      <c r="F627" s="417"/>
      <c r="G627" s="417"/>
      <c r="H627" s="417"/>
      <c r="I627" s="417"/>
      <c r="J627" s="417"/>
      <c r="K627" s="417"/>
      <c r="L627" s="417"/>
      <c r="M627" s="417"/>
      <c r="N627" s="417"/>
      <c r="O627" s="417"/>
      <c r="P627" s="417"/>
      <c r="Q627" s="417"/>
      <c r="R627" s="417"/>
      <c r="S627" s="417"/>
      <c r="T627" s="417"/>
      <c r="U627" s="417"/>
      <c r="V627" s="417"/>
      <c r="W627" s="417"/>
      <c r="X627" s="417"/>
      <c r="Y627" s="417"/>
      <c r="Z627" s="417"/>
    </row>
    <row r="628" spans="1:26" ht="15.75">
      <c r="A628" s="417"/>
      <c r="B628" s="417"/>
      <c r="C628" s="417"/>
      <c r="D628" s="417"/>
      <c r="E628" s="417"/>
      <c r="F628" s="417"/>
      <c r="G628" s="417"/>
      <c r="H628" s="417"/>
      <c r="I628" s="417"/>
      <c r="J628" s="417"/>
      <c r="K628" s="417"/>
      <c r="L628" s="417"/>
      <c r="M628" s="417"/>
      <c r="N628" s="417"/>
      <c r="O628" s="417"/>
      <c r="P628" s="417"/>
      <c r="Q628" s="417"/>
      <c r="R628" s="417"/>
      <c r="S628" s="417"/>
      <c r="T628" s="417"/>
      <c r="U628" s="417"/>
      <c r="V628" s="417"/>
      <c r="W628" s="417"/>
      <c r="X628" s="417"/>
      <c r="Y628" s="417"/>
      <c r="Z628" s="417"/>
    </row>
    <row r="629" spans="1:26" ht="15.75">
      <c r="A629" s="417"/>
      <c r="B629" s="417"/>
      <c r="C629" s="417"/>
      <c r="D629" s="417"/>
      <c r="E629" s="417"/>
      <c r="F629" s="417"/>
      <c r="G629" s="417"/>
      <c r="H629" s="417"/>
      <c r="I629" s="417"/>
      <c r="J629" s="417"/>
      <c r="K629" s="417"/>
      <c r="L629" s="417"/>
      <c r="M629" s="417"/>
      <c r="N629" s="417"/>
      <c r="O629" s="417"/>
      <c r="P629" s="417"/>
      <c r="Q629" s="417"/>
      <c r="R629" s="417"/>
      <c r="S629" s="417"/>
      <c r="T629" s="417"/>
      <c r="U629" s="417"/>
      <c r="V629" s="417"/>
      <c r="W629" s="417"/>
      <c r="X629" s="417"/>
      <c r="Y629" s="417"/>
      <c r="Z629" s="417"/>
    </row>
    <row r="630" spans="1:26" ht="15.75">
      <c r="A630" s="417"/>
      <c r="B630" s="417"/>
      <c r="C630" s="417"/>
      <c r="D630" s="417"/>
      <c r="E630" s="417"/>
      <c r="F630" s="417"/>
      <c r="G630" s="417"/>
      <c r="H630" s="417"/>
      <c r="I630" s="417"/>
      <c r="J630" s="417"/>
      <c r="K630" s="417"/>
      <c r="L630" s="417"/>
      <c r="M630" s="417"/>
      <c r="N630" s="417"/>
      <c r="O630" s="417"/>
      <c r="P630" s="417"/>
      <c r="Q630" s="417"/>
      <c r="R630" s="417"/>
      <c r="S630" s="417"/>
      <c r="T630" s="417"/>
      <c r="U630" s="417"/>
      <c r="V630" s="417"/>
      <c r="W630" s="417"/>
      <c r="X630" s="417"/>
      <c r="Y630" s="417"/>
      <c r="Z630" s="417"/>
    </row>
    <row r="631" spans="1:26" ht="15.75">
      <c r="A631" s="417"/>
      <c r="B631" s="417"/>
      <c r="C631" s="417"/>
      <c r="D631" s="417"/>
      <c r="E631" s="417"/>
      <c r="F631" s="417"/>
      <c r="G631" s="417"/>
      <c r="H631" s="417"/>
      <c r="I631" s="417"/>
      <c r="J631" s="417"/>
      <c r="K631" s="417"/>
      <c r="L631" s="417"/>
      <c r="M631" s="417"/>
      <c r="N631" s="417"/>
      <c r="O631" s="417"/>
      <c r="P631" s="417"/>
      <c r="Q631" s="417"/>
      <c r="R631" s="417"/>
      <c r="S631" s="417"/>
      <c r="T631" s="417"/>
      <c r="U631" s="417"/>
      <c r="V631" s="417"/>
      <c r="W631" s="417"/>
      <c r="X631" s="417"/>
      <c r="Y631" s="417"/>
      <c r="Z631" s="417"/>
    </row>
    <row r="632" spans="1:26" ht="15.75">
      <c r="A632" s="417"/>
      <c r="B632" s="417"/>
      <c r="C632" s="417"/>
      <c r="D632" s="417"/>
      <c r="E632" s="417"/>
      <c r="F632" s="417"/>
      <c r="G632" s="417"/>
      <c r="H632" s="417"/>
      <c r="I632" s="417"/>
      <c r="J632" s="417"/>
      <c r="K632" s="417"/>
      <c r="L632" s="417"/>
      <c r="M632" s="417"/>
      <c r="N632" s="417"/>
      <c r="O632" s="417"/>
      <c r="P632" s="417"/>
      <c r="Q632" s="417"/>
      <c r="R632" s="417"/>
      <c r="S632" s="417"/>
      <c r="T632" s="417"/>
      <c r="U632" s="417"/>
      <c r="V632" s="417"/>
      <c r="W632" s="417"/>
      <c r="X632" s="417"/>
      <c r="Y632" s="417"/>
      <c r="Z632" s="417"/>
    </row>
    <row r="633" spans="1:26" ht="15.75">
      <c r="A633" s="417"/>
      <c r="B633" s="417"/>
      <c r="C633" s="417"/>
      <c r="D633" s="417"/>
      <c r="E633" s="417"/>
      <c r="F633" s="417"/>
      <c r="G633" s="417"/>
      <c r="H633" s="417"/>
      <c r="I633" s="417"/>
      <c r="J633" s="417"/>
      <c r="K633" s="417"/>
      <c r="L633" s="417"/>
      <c r="M633" s="417"/>
      <c r="N633" s="417"/>
      <c r="O633" s="417"/>
      <c r="P633" s="417"/>
      <c r="Q633" s="417"/>
      <c r="R633" s="417"/>
      <c r="S633" s="417"/>
      <c r="T633" s="417"/>
      <c r="U633" s="417"/>
      <c r="V633" s="417"/>
      <c r="W633" s="417"/>
      <c r="X633" s="417"/>
      <c r="Y633" s="417"/>
      <c r="Z633" s="417"/>
    </row>
    <row r="634" spans="1:26" ht="15.75">
      <c r="A634" s="417"/>
      <c r="B634" s="417"/>
      <c r="C634" s="417"/>
      <c r="D634" s="417"/>
      <c r="E634" s="417"/>
      <c r="F634" s="417"/>
      <c r="G634" s="417"/>
      <c r="H634" s="417"/>
      <c r="I634" s="417"/>
      <c r="J634" s="417"/>
      <c r="K634" s="417"/>
      <c r="L634" s="417"/>
      <c r="M634" s="417"/>
      <c r="N634" s="417"/>
      <c r="O634" s="417"/>
      <c r="P634" s="417"/>
      <c r="Q634" s="417"/>
      <c r="R634" s="417"/>
      <c r="S634" s="417"/>
      <c r="T634" s="417"/>
      <c r="U634" s="417"/>
      <c r="V634" s="417"/>
      <c r="W634" s="417"/>
      <c r="X634" s="417"/>
      <c r="Y634" s="417"/>
      <c r="Z634" s="417"/>
    </row>
    <row r="635" spans="1:26" ht="15.75">
      <c r="A635" s="417"/>
      <c r="B635" s="417"/>
      <c r="C635" s="417"/>
      <c r="D635" s="417"/>
      <c r="E635" s="417"/>
      <c r="F635" s="417"/>
      <c r="G635" s="417"/>
      <c r="H635" s="417"/>
      <c r="I635" s="417"/>
      <c r="J635" s="417"/>
      <c r="K635" s="417"/>
      <c r="L635" s="417"/>
      <c r="M635" s="417"/>
      <c r="N635" s="417"/>
      <c r="O635" s="417"/>
      <c r="P635" s="417"/>
      <c r="Q635" s="417"/>
      <c r="R635" s="417"/>
      <c r="S635" s="417"/>
      <c r="T635" s="417"/>
      <c r="U635" s="417"/>
      <c r="V635" s="417"/>
      <c r="W635" s="417"/>
      <c r="X635" s="417"/>
      <c r="Y635" s="417"/>
      <c r="Z635" s="417"/>
    </row>
    <row r="636" spans="1:26" ht="15.75">
      <c r="A636" s="417"/>
      <c r="B636" s="417"/>
      <c r="C636" s="417"/>
      <c r="D636" s="417"/>
      <c r="E636" s="417"/>
      <c r="F636" s="417"/>
      <c r="G636" s="417"/>
      <c r="H636" s="417"/>
      <c r="I636" s="417"/>
      <c r="J636" s="417"/>
      <c r="K636" s="417"/>
      <c r="L636" s="417"/>
      <c r="M636" s="417"/>
      <c r="N636" s="417"/>
      <c r="O636" s="417"/>
      <c r="P636" s="417"/>
      <c r="Q636" s="417"/>
      <c r="R636" s="417"/>
      <c r="S636" s="417"/>
      <c r="T636" s="417"/>
      <c r="U636" s="417"/>
      <c r="V636" s="417"/>
      <c r="W636" s="417"/>
      <c r="X636" s="417"/>
      <c r="Y636" s="417"/>
      <c r="Z636" s="417"/>
    </row>
    <row r="637" spans="1:26" ht="15.75">
      <c r="A637" s="417"/>
      <c r="B637" s="417"/>
      <c r="C637" s="417"/>
      <c r="D637" s="417"/>
      <c r="E637" s="417"/>
      <c r="F637" s="417"/>
      <c r="G637" s="417"/>
      <c r="H637" s="417"/>
      <c r="I637" s="417"/>
      <c r="J637" s="417"/>
      <c r="K637" s="417"/>
      <c r="L637" s="417"/>
      <c r="M637" s="417"/>
      <c r="N637" s="417"/>
      <c r="O637" s="417"/>
      <c r="P637" s="417"/>
      <c r="Q637" s="417"/>
      <c r="R637" s="417"/>
      <c r="S637" s="417"/>
      <c r="T637" s="417"/>
      <c r="U637" s="417"/>
      <c r="V637" s="417"/>
      <c r="W637" s="417"/>
      <c r="X637" s="417"/>
      <c r="Y637" s="417"/>
      <c r="Z637" s="417"/>
    </row>
    <row r="638" spans="1:26" ht="15.75">
      <c r="A638" s="417"/>
      <c r="B638" s="417"/>
      <c r="C638" s="417"/>
      <c r="D638" s="417"/>
      <c r="E638" s="417"/>
      <c r="F638" s="417"/>
      <c r="G638" s="417"/>
      <c r="H638" s="417"/>
      <c r="I638" s="417"/>
      <c r="J638" s="417"/>
      <c r="K638" s="417"/>
      <c r="L638" s="417"/>
      <c r="M638" s="417"/>
      <c r="N638" s="417"/>
      <c r="O638" s="417"/>
      <c r="P638" s="417"/>
      <c r="Q638" s="417"/>
      <c r="R638" s="417"/>
      <c r="S638" s="417"/>
      <c r="T638" s="417"/>
      <c r="U638" s="417"/>
      <c r="V638" s="417"/>
      <c r="W638" s="417"/>
      <c r="X638" s="417"/>
      <c r="Y638" s="417"/>
      <c r="Z638" s="417"/>
    </row>
    <row r="639" spans="1:26" ht="15.75">
      <c r="A639" s="417"/>
      <c r="B639" s="417"/>
      <c r="C639" s="417"/>
      <c r="D639" s="417"/>
      <c r="E639" s="417"/>
      <c r="F639" s="417"/>
      <c r="G639" s="417"/>
      <c r="H639" s="417"/>
      <c r="I639" s="417"/>
      <c r="J639" s="417"/>
      <c r="K639" s="417"/>
      <c r="L639" s="417"/>
      <c r="M639" s="417"/>
      <c r="N639" s="417"/>
      <c r="O639" s="417"/>
      <c r="P639" s="417"/>
      <c r="Q639" s="417"/>
      <c r="R639" s="417"/>
      <c r="S639" s="417"/>
      <c r="T639" s="417"/>
      <c r="U639" s="417"/>
      <c r="V639" s="417"/>
      <c r="W639" s="417"/>
      <c r="X639" s="417"/>
      <c r="Y639" s="417"/>
      <c r="Z639" s="417"/>
    </row>
    <row r="640" spans="1:26" ht="15.75">
      <c r="A640" s="417"/>
      <c r="B640" s="417"/>
      <c r="C640" s="417"/>
      <c r="D640" s="417"/>
      <c r="E640" s="417"/>
      <c r="F640" s="417"/>
      <c r="G640" s="417"/>
      <c r="H640" s="417"/>
      <c r="I640" s="417"/>
      <c r="J640" s="417"/>
      <c r="K640" s="417"/>
      <c r="L640" s="417"/>
      <c r="M640" s="417"/>
      <c r="N640" s="417"/>
      <c r="O640" s="417"/>
      <c r="P640" s="417"/>
      <c r="Q640" s="417"/>
      <c r="R640" s="417"/>
      <c r="S640" s="417"/>
      <c r="T640" s="417"/>
      <c r="U640" s="417"/>
      <c r="V640" s="417"/>
      <c r="W640" s="417"/>
      <c r="X640" s="417"/>
      <c r="Y640" s="417"/>
      <c r="Z640" s="417"/>
    </row>
    <row r="641" spans="1:26" ht="15.75">
      <c r="A641" s="417"/>
      <c r="B641" s="417"/>
      <c r="C641" s="417"/>
      <c r="D641" s="417"/>
      <c r="E641" s="417"/>
      <c r="F641" s="417"/>
      <c r="G641" s="417"/>
      <c r="H641" s="417"/>
      <c r="I641" s="417"/>
      <c r="J641" s="417"/>
      <c r="K641" s="417"/>
      <c r="L641" s="417"/>
      <c r="M641" s="417"/>
      <c r="N641" s="417"/>
      <c r="O641" s="417"/>
      <c r="P641" s="417"/>
      <c r="Q641" s="417"/>
      <c r="R641" s="417"/>
      <c r="S641" s="417"/>
      <c r="T641" s="417"/>
      <c r="U641" s="417"/>
      <c r="V641" s="417"/>
      <c r="W641" s="417"/>
      <c r="X641" s="417"/>
      <c r="Y641" s="417"/>
      <c r="Z641" s="417"/>
    </row>
    <row r="642" spans="1:26" ht="15.75">
      <c r="A642" s="417"/>
      <c r="B642" s="417"/>
      <c r="C642" s="417"/>
      <c r="D642" s="417"/>
      <c r="E642" s="417"/>
      <c r="F642" s="417"/>
      <c r="G642" s="417"/>
      <c r="H642" s="417"/>
      <c r="I642" s="417"/>
      <c r="J642" s="417"/>
      <c r="K642" s="417"/>
      <c r="L642" s="417"/>
      <c r="M642" s="417"/>
      <c r="N642" s="417"/>
      <c r="O642" s="417"/>
      <c r="P642" s="417"/>
      <c r="Q642" s="417"/>
      <c r="R642" s="417"/>
      <c r="S642" s="417"/>
      <c r="T642" s="417"/>
      <c r="U642" s="417"/>
      <c r="V642" s="417"/>
      <c r="W642" s="417"/>
      <c r="X642" s="417"/>
      <c r="Y642" s="417"/>
      <c r="Z642" s="417"/>
    </row>
    <row r="643" spans="1:26" ht="15.75">
      <c r="A643" s="417"/>
      <c r="B643" s="417"/>
      <c r="C643" s="417"/>
      <c r="D643" s="417"/>
      <c r="E643" s="417"/>
      <c r="F643" s="417"/>
      <c r="G643" s="417"/>
      <c r="H643" s="417"/>
      <c r="I643" s="417"/>
      <c r="J643" s="417"/>
      <c r="K643" s="417"/>
      <c r="L643" s="417"/>
      <c r="M643" s="417"/>
      <c r="N643" s="417"/>
      <c r="O643" s="417"/>
      <c r="P643" s="417"/>
      <c r="Q643" s="417"/>
      <c r="R643" s="417"/>
      <c r="S643" s="417"/>
      <c r="T643" s="417"/>
      <c r="U643" s="417"/>
      <c r="V643" s="417"/>
      <c r="W643" s="417"/>
      <c r="X643" s="417"/>
      <c r="Y643" s="417"/>
      <c r="Z643" s="417"/>
    </row>
    <row r="644" spans="1:26" ht="15.75">
      <c r="A644" s="417"/>
      <c r="B644" s="417"/>
      <c r="C644" s="417"/>
      <c r="D644" s="417"/>
      <c r="E644" s="417"/>
      <c r="F644" s="417"/>
      <c r="G644" s="417"/>
      <c r="H644" s="417"/>
      <c r="I644" s="417"/>
      <c r="J644" s="417"/>
      <c r="K644" s="417"/>
      <c r="L644" s="417"/>
      <c r="M644" s="417"/>
      <c r="N644" s="417"/>
      <c r="O644" s="417"/>
      <c r="P644" s="417"/>
      <c r="Q644" s="417"/>
      <c r="R644" s="417"/>
      <c r="S644" s="417"/>
      <c r="T644" s="417"/>
      <c r="U644" s="417"/>
      <c r="V644" s="417"/>
      <c r="W644" s="417"/>
      <c r="X644" s="417"/>
      <c r="Y644" s="417"/>
      <c r="Z644" s="417"/>
    </row>
    <row r="645" spans="1:26" ht="15.75">
      <c r="A645" s="417"/>
      <c r="B645" s="417"/>
      <c r="C645" s="417"/>
      <c r="D645" s="417"/>
      <c r="E645" s="417"/>
      <c r="F645" s="417"/>
      <c r="G645" s="417"/>
      <c r="H645" s="417"/>
      <c r="I645" s="417"/>
      <c r="J645" s="417"/>
      <c r="K645" s="417"/>
      <c r="L645" s="417"/>
      <c r="M645" s="417"/>
      <c r="N645" s="417"/>
      <c r="O645" s="417"/>
      <c r="P645" s="417"/>
      <c r="Q645" s="417"/>
      <c r="R645" s="417"/>
      <c r="S645" s="417"/>
      <c r="T645" s="417"/>
      <c r="U645" s="417"/>
      <c r="V645" s="417"/>
      <c r="W645" s="417"/>
      <c r="X645" s="417"/>
      <c r="Y645" s="417"/>
      <c r="Z645" s="417"/>
    </row>
    <row r="646" spans="1:26" ht="15.75">
      <c r="A646" s="417"/>
      <c r="B646" s="417"/>
      <c r="C646" s="417"/>
      <c r="D646" s="417"/>
      <c r="E646" s="417"/>
      <c r="F646" s="417"/>
      <c r="G646" s="417"/>
      <c r="H646" s="417"/>
      <c r="I646" s="417"/>
      <c r="J646" s="417"/>
      <c r="K646" s="417"/>
      <c r="L646" s="417"/>
      <c r="M646" s="417"/>
      <c r="N646" s="417"/>
      <c r="O646" s="417"/>
      <c r="P646" s="417"/>
      <c r="Q646" s="417"/>
      <c r="R646" s="417"/>
      <c r="S646" s="417"/>
      <c r="T646" s="417"/>
      <c r="U646" s="417"/>
      <c r="V646" s="417"/>
      <c r="W646" s="417"/>
      <c r="X646" s="417"/>
      <c r="Y646" s="417"/>
      <c r="Z646" s="417"/>
    </row>
    <row r="647" spans="1:26" ht="15.75">
      <c r="A647" s="417"/>
      <c r="B647" s="417"/>
      <c r="C647" s="417"/>
      <c r="D647" s="417"/>
      <c r="E647" s="417"/>
      <c r="F647" s="417"/>
      <c r="G647" s="417"/>
      <c r="H647" s="417"/>
      <c r="I647" s="417"/>
      <c r="J647" s="417"/>
      <c r="K647" s="417"/>
      <c r="L647" s="417"/>
      <c r="M647" s="417"/>
      <c r="N647" s="417"/>
      <c r="O647" s="417"/>
      <c r="P647" s="417"/>
      <c r="Q647" s="417"/>
      <c r="R647" s="417"/>
      <c r="S647" s="417"/>
      <c r="T647" s="417"/>
      <c r="U647" s="417"/>
      <c r="V647" s="417"/>
      <c r="W647" s="417"/>
      <c r="X647" s="417"/>
      <c r="Y647" s="417"/>
      <c r="Z647" s="417"/>
    </row>
    <row r="648" spans="1:26" ht="15.75">
      <c r="A648" s="417"/>
      <c r="B648" s="417"/>
      <c r="C648" s="417"/>
      <c r="D648" s="417"/>
      <c r="E648" s="417"/>
      <c r="F648" s="417"/>
      <c r="G648" s="417"/>
      <c r="H648" s="417"/>
      <c r="I648" s="417"/>
      <c r="J648" s="417"/>
      <c r="K648" s="417"/>
      <c r="L648" s="417"/>
      <c r="M648" s="417"/>
      <c r="N648" s="417"/>
      <c r="O648" s="417"/>
      <c r="P648" s="417"/>
      <c r="Q648" s="417"/>
      <c r="R648" s="417"/>
      <c r="S648" s="417"/>
      <c r="T648" s="417"/>
      <c r="U648" s="417"/>
      <c r="V648" s="417"/>
      <c r="W648" s="417"/>
      <c r="X648" s="417"/>
      <c r="Y648" s="417"/>
      <c r="Z648" s="417"/>
    </row>
    <row r="649" spans="1:26" ht="15.75">
      <c r="A649" s="417"/>
      <c r="B649" s="417"/>
      <c r="C649" s="417"/>
      <c r="D649" s="417"/>
      <c r="E649" s="417"/>
      <c r="F649" s="417"/>
      <c r="G649" s="417"/>
      <c r="H649" s="417"/>
      <c r="I649" s="417"/>
      <c r="J649" s="417"/>
      <c r="K649" s="417"/>
      <c r="L649" s="417"/>
      <c r="M649" s="417"/>
      <c r="N649" s="417"/>
      <c r="O649" s="417"/>
      <c r="P649" s="417"/>
      <c r="Q649" s="417"/>
      <c r="R649" s="417"/>
      <c r="S649" s="417"/>
      <c r="T649" s="417"/>
      <c r="U649" s="417"/>
      <c r="V649" s="417"/>
      <c r="W649" s="417"/>
      <c r="X649" s="417"/>
      <c r="Y649" s="417"/>
      <c r="Z649" s="417"/>
    </row>
    <row r="650" spans="1:26" ht="15.75">
      <c r="A650" s="417"/>
      <c r="B650" s="417"/>
      <c r="C650" s="417"/>
      <c r="D650" s="417"/>
      <c r="E650" s="417"/>
      <c r="F650" s="417"/>
      <c r="G650" s="417"/>
      <c r="H650" s="417"/>
      <c r="I650" s="417"/>
      <c r="J650" s="417"/>
      <c r="K650" s="417"/>
      <c r="L650" s="417"/>
      <c r="M650" s="417"/>
      <c r="N650" s="417"/>
      <c r="O650" s="417"/>
      <c r="P650" s="417"/>
      <c r="Q650" s="417"/>
      <c r="R650" s="417"/>
      <c r="S650" s="417"/>
      <c r="T650" s="417"/>
      <c r="U650" s="417"/>
      <c r="V650" s="417"/>
      <c r="W650" s="417"/>
      <c r="X650" s="417"/>
      <c r="Y650" s="417"/>
      <c r="Z650" s="417"/>
    </row>
    <row r="651" spans="1:26" ht="15.75">
      <c r="A651" s="417"/>
      <c r="B651" s="417"/>
      <c r="C651" s="417"/>
      <c r="D651" s="417"/>
      <c r="E651" s="417"/>
      <c r="F651" s="417"/>
      <c r="G651" s="417"/>
      <c r="H651" s="417"/>
      <c r="I651" s="417"/>
      <c r="J651" s="417"/>
      <c r="K651" s="417"/>
      <c r="L651" s="417"/>
      <c r="M651" s="417"/>
      <c r="N651" s="417"/>
      <c r="O651" s="417"/>
      <c r="P651" s="417"/>
      <c r="Q651" s="417"/>
      <c r="R651" s="417"/>
      <c r="S651" s="417"/>
      <c r="T651" s="417"/>
      <c r="U651" s="417"/>
      <c r="V651" s="417"/>
      <c r="W651" s="417"/>
      <c r="X651" s="417"/>
      <c r="Y651" s="417"/>
      <c r="Z651" s="417"/>
    </row>
    <row r="652" spans="1:26" ht="15.75">
      <c r="A652" s="417"/>
      <c r="B652" s="417"/>
      <c r="C652" s="417"/>
      <c r="D652" s="417"/>
      <c r="E652" s="417"/>
      <c r="F652" s="417"/>
      <c r="G652" s="417"/>
      <c r="H652" s="417"/>
      <c r="I652" s="417"/>
      <c r="J652" s="417"/>
      <c r="K652" s="417"/>
      <c r="L652" s="417"/>
      <c r="M652" s="417"/>
      <c r="N652" s="417"/>
      <c r="O652" s="417"/>
      <c r="P652" s="417"/>
      <c r="Q652" s="417"/>
      <c r="R652" s="417"/>
      <c r="S652" s="417"/>
      <c r="T652" s="417"/>
      <c r="U652" s="417"/>
      <c r="V652" s="417"/>
      <c r="W652" s="417"/>
      <c r="X652" s="417"/>
      <c r="Y652" s="417"/>
      <c r="Z652" s="417"/>
    </row>
    <row r="653" spans="1:26" ht="15.75">
      <c r="A653" s="417"/>
      <c r="B653" s="417"/>
      <c r="C653" s="417"/>
      <c r="D653" s="417"/>
      <c r="E653" s="417"/>
      <c r="F653" s="417"/>
      <c r="G653" s="417"/>
      <c r="H653" s="417"/>
      <c r="I653" s="417"/>
      <c r="J653" s="417"/>
      <c r="K653" s="417"/>
      <c r="L653" s="417"/>
      <c r="M653" s="417"/>
      <c r="N653" s="417"/>
      <c r="O653" s="417"/>
      <c r="P653" s="417"/>
      <c r="Q653" s="417"/>
      <c r="R653" s="417"/>
      <c r="S653" s="417"/>
      <c r="T653" s="417"/>
      <c r="U653" s="417"/>
      <c r="V653" s="417"/>
      <c r="W653" s="417"/>
      <c r="X653" s="417"/>
      <c r="Y653" s="417"/>
      <c r="Z653" s="417"/>
    </row>
    <row r="654" spans="1:26" ht="15.75">
      <c r="A654" s="417"/>
      <c r="B654" s="417"/>
      <c r="C654" s="417"/>
      <c r="D654" s="417"/>
      <c r="E654" s="417"/>
      <c r="F654" s="417"/>
      <c r="G654" s="417"/>
      <c r="H654" s="417"/>
      <c r="I654" s="417"/>
      <c r="J654" s="417"/>
      <c r="K654" s="417"/>
      <c r="L654" s="417"/>
      <c r="M654" s="417"/>
      <c r="N654" s="417"/>
      <c r="O654" s="417"/>
      <c r="P654" s="417"/>
      <c r="Q654" s="417"/>
      <c r="R654" s="417"/>
      <c r="S654" s="417"/>
      <c r="T654" s="417"/>
      <c r="U654" s="417"/>
      <c r="V654" s="417"/>
      <c r="W654" s="417"/>
      <c r="X654" s="417"/>
      <c r="Y654" s="417"/>
      <c r="Z654" s="417"/>
    </row>
    <row r="655" spans="1:26" ht="15.75">
      <c r="A655" s="417"/>
      <c r="B655" s="417"/>
      <c r="C655" s="417"/>
      <c r="D655" s="417"/>
      <c r="E655" s="417"/>
      <c r="F655" s="417"/>
      <c r="G655" s="417"/>
      <c r="H655" s="417"/>
      <c r="I655" s="417"/>
      <c r="J655" s="417"/>
      <c r="K655" s="417"/>
      <c r="L655" s="417"/>
      <c r="M655" s="417"/>
      <c r="N655" s="417"/>
      <c r="O655" s="417"/>
      <c r="P655" s="417"/>
      <c r="Q655" s="417"/>
      <c r="R655" s="417"/>
      <c r="S655" s="417"/>
      <c r="T655" s="417"/>
      <c r="U655" s="417"/>
      <c r="V655" s="417"/>
      <c r="W655" s="417"/>
      <c r="X655" s="417"/>
      <c r="Y655" s="417"/>
      <c r="Z655" s="417"/>
    </row>
    <row r="656" spans="1:26" ht="15.75">
      <c r="A656" s="417"/>
      <c r="B656" s="417"/>
      <c r="C656" s="417"/>
      <c r="D656" s="417"/>
      <c r="E656" s="417"/>
      <c r="F656" s="417"/>
      <c r="G656" s="417"/>
      <c r="H656" s="417"/>
      <c r="I656" s="417"/>
      <c r="J656" s="417"/>
      <c r="K656" s="417"/>
      <c r="L656" s="417"/>
      <c r="M656" s="417"/>
      <c r="N656" s="417"/>
      <c r="O656" s="417"/>
      <c r="P656" s="417"/>
      <c r="Q656" s="417"/>
      <c r="R656" s="417"/>
      <c r="S656" s="417"/>
      <c r="T656" s="417"/>
      <c r="U656" s="417"/>
      <c r="V656" s="417"/>
      <c r="W656" s="417"/>
      <c r="X656" s="417"/>
      <c r="Y656" s="417"/>
      <c r="Z656" s="417"/>
    </row>
    <row r="657" spans="1:26" ht="15.75">
      <c r="A657" s="417"/>
      <c r="B657" s="417"/>
      <c r="C657" s="417"/>
      <c r="D657" s="417"/>
      <c r="E657" s="417"/>
      <c r="F657" s="417"/>
      <c r="G657" s="417"/>
      <c r="H657" s="417"/>
      <c r="I657" s="417"/>
      <c r="J657" s="417"/>
      <c r="K657" s="417"/>
      <c r="L657" s="417"/>
      <c r="M657" s="417"/>
      <c r="N657" s="417"/>
      <c r="O657" s="417"/>
      <c r="P657" s="417"/>
      <c r="Q657" s="417"/>
      <c r="R657" s="417"/>
      <c r="S657" s="417"/>
      <c r="T657" s="417"/>
      <c r="U657" s="417"/>
      <c r="V657" s="417"/>
      <c r="W657" s="417"/>
      <c r="X657" s="417"/>
      <c r="Y657" s="417"/>
      <c r="Z657" s="417"/>
    </row>
    <row r="658" spans="1:26" ht="15.75">
      <c r="A658" s="417"/>
      <c r="B658" s="417"/>
      <c r="C658" s="417"/>
      <c r="D658" s="417"/>
      <c r="E658" s="417"/>
      <c r="F658" s="417"/>
      <c r="G658" s="417"/>
      <c r="H658" s="417"/>
      <c r="I658" s="417"/>
      <c r="J658" s="417"/>
      <c r="K658" s="417"/>
      <c r="L658" s="417"/>
      <c r="M658" s="417"/>
      <c r="N658" s="417"/>
      <c r="O658" s="417"/>
      <c r="P658" s="417"/>
      <c r="Q658" s="417"/>
      <c r="R658" s="417"/>
      <c r="S658" s="417"/>
      <c r="T658" s="417"/>
      <c r="U658" s="417"/>
      <c r="V658" s="417"/>
      <c r="W658" s="417"/>
      <c r="X658" s="417"/>
      <c r="Y658" s="417"/>
      <c r="Z658" s="417"/>
    </row>
    <row r="659" spans="1:26" ht="15.75">
      <c r="A659" s="417"/>
      <c r="B659" s="417"/>
      <c r="C659" s="417"/>
      <c r="D659" s="417"/>
      <c r="E659" s="417"/>
      <c r="F659" s="417"/>
      <c r="G659" s="417"/>
      <c r="H659" s="417"/>
      <c r="I659" s="417"/>
      <c r="J659" s="417"/>
      <c r="K659" s="417"/>
      <c r="L659" s="417"/>
      <c r="M659" s="417"/>
      <c r="N659" s="417"/>
      <c r="O659" s="417"/>
      <c r="P659" s="417"/>
      <c r="Q659" s="417"/>
      <c r="R659" s="417"/>
      <c r="S659" s="417"/>
      <c r="T659" s="417"/>
      <c r="U659" s="417"/>
      <c r="V659" s="417"/>
      <c r="W659" s="417"/>
      <c r="X659" s="417"/>
      <c r="Y659" s="417"/>
      <c r="Z659" s="417"/>
    </row>
    <row r="660" spans="1:26" ht="15.75">
      <c r="A660" s="417"/>
      <c r="B660" s="417"/>
      <c r="C660" s="417"/>
      <c r="D660" s="417"/>
      <c r="E660" s="417"/>
      <c r="F660" s="417"/>
      <c r="G660" s="417"/>
      <c r="H660" s="417"/>
      <c r="I660" s="417"/>
      <c r="J660" s="417"/>
      <c r="K660" s="417"/>
      <c r="L660" s="417"/>
      <c r="M660" s="417"/>
      <c r="N660" s="417"/>
      <c r="O660" s="417"/>
      <c r="P660" s="417"/>
      <c r="Q660" s="417"/>
      <c r="R660" s="417"/>
      <c r="S660" s="417"/>
      <c r="T660" s="417"/>
      <c r="U660" s="417"/>
      <c r="V660" s="417"/>
      <c r="W660" s="417"/>
      <c r="X660" s="417"/>
      <c r="Y660" s="417"/>
      <c r="Z660" s="417"/>
    </row>
    <row r="661" spans="1:26" ht="15.75">
      <c r="A661" s="417"/>
      <c r="B661" s="417"/>
      <c r="C661" s="417"/>
      <c r="D661" s="417"/>
      <c r="E661" s="417"/>
      <c r="F661" s="417"/>
      <c r="G661" s="417"/>
      <c r="H661" s="417"/>
      <c r="I661" s="417"/>
      <c r="J661" s="417"/>
      <c r="K661" s="417"/>
      <c r="L661" s="417"/>
      <c r="M661" s="417"/>
      <c r="N661" s="417"/>
      <c r="O661" s="417"/>
      <c r="P661" s="417"/>
      <c r="Q661" s="417"/>
      <c r="R661" s="417"/>
      <c r="S661" s="417"/>
      <c r="T661" s="417"/>
      <c r="U661" s="417"/>
      <c r="V661" s="417"/>
      <c r="W661" s="417"/>
      <c r="X661" s="417"/>
      <c r="Y661" s="417"/>
      <c r="Z661" s="417"/>
    </row>
    <row r="662" spans="1:26" ht="15.75">
      <c r="A662" s="417"/>
      <c r="B662" s="417"/>
      <c r="C662" s="417"/>
      <c r="D662" s="417"/>
      <c r="E662" s="417"/>
      <c r="F662" s="417"/>
      <c r="G662" s="417"/>
      <c r="H662" s="417"/>
      <c r="I662" s="417"/>
      <c r="J662" s="417"/>
      <c r="K662" s="417"/>
      <c r="L662" s="417"/>
      <c r="M662" s="417"/>
      <c r="N662" s="417"/>
      <c r="O662" s="417"/>
      <c r="P662" s="417"/>
      <c r="Q662" s="417"/>
      <c r="R662" s="417"/>
      <c r="S662" s="417"/>
      <c r="T662" s="417"/>
      <c r="U662" s="417"/>
      <c r="V662" s="417"/>
      <c r="W662" s="417"/>
      <c r="X662" s="417"/>
      <c r="Y662" s="417"/>
      <c r="Z662" s="417"/>
    </row>
    <row r="663" spans="1:26" ht="15.75">
      <c r="A663" s="417"/>
      <c r="B663" s="417"/>
      <c r="C663" s="417"/>
      <c r="D663" s="417"/>
      <c r="E663" s="417"/>
      <c r="F663" s="417"/>
      <c r="G663" s="417"/>
      <c r="H663" s="417"/>
      <c r="I663" s="417"/>
      <c r="J663" s="417"/>
      <c r="K663" s="417"/>
      <c r="L663" s="417"/>
      <c r="M663" s="417"/>
      <c r="N663" s="417"/>
      <c r="O663" s="417"/>
      <c r="P663" s="417"/>
      <c r="Q663" s="417"/>
      <c r="R663" s="417"/>
      <c r="S663" s="417"/>
      <c r="T663" s="417"/>
      <c r="U663" s="417"/>
      <c r="V663" s="417"/>
      <c r="W663" s="417"/>
      <c r="X663" s="417"/>
      <c r="Y663" s="417"/>
      <c r="Z663" s="417"/>
    </row>
    <row r="664" spans="1:26" ht="15.75">
      <c r="A664" s="417"/>
      <c r="B664" s="417"/>
      <c r="C664" s="417"/>
      <c r="D664" s="417"/>
      <c r="E664" s="417"/>
      <c r="F664" s="417"/>
      <c r="G664" s="417"/>
      <c r="H664" s="417"/>
      <c r="I664" s="417"/>
      <c r="J664" s="417"/>
      <c r="K664" s="417"/>
      <c r="L664" s="417"/>
      <c r="M664" s="417"/>
      <c r="N664" s="417"/>
      <c r="O664" s="417"/>
      <c r="P664" s="417"/>
      <c r="Q664" s="417"/>
      <c r="R664" s="417"/>
      <c r="S664" s="417"/>
      <c r="T664" s="417"/>
      <c r="U664" s="417"/>
      <c r="V664" s="417"/>
      <c r="W664" s="417"/>
      <c r="X664" s="417"/>
      <c r="Y664" s="417"/>
      <c r="Z664" s="417"/>
    </row>
    <row r="665" spans="1:26" ht="15.75">
      <c r="A665" s="417"/>
      <c r="B665" s="417"/>
      <c r="C665" s="417"/>
      <c r="D665" s="417"/>
      <c r="E665" s="417"/>
      <c r="F665" s="417"/>
      <c r="G665" s="417"/>
      <c r="H665" s="417"/>
      <c r="I665" s="417"/>
      <c r="J665" s="417"/>
      <c r="K665" s="417"/>
      <c r="L665" s="417"/>
      <c r="M665" s="417"/>
      <c r="N665" s="417"/>
      <c r="O665" s="417"/>
      <c r="P665" s="417"/>
      <c r="Q665" s="417"/>
      <c r="R665" s="417"/>
      <c r="S665" s="417"/>
      <c r="T665" s="417"/>
      <c r="U665" s="417"/>
      <c r="V665" s="417"/>
      <c r="W665" s="417"/>
      <c r="X665" s="417"/>
      <c r="Y665" s="417"/>
      <c r="Z665" s="417"/>
    </row>
    <row r="666" spans="1:26" ht="15.75">
      <c r="A666" s="417"/>
      <c r="B666" s="417"/>
      <c r="C666" s="417"/>
      <c r="D666" s="417"/>
      <c r="E666" s="417"/>
      <c r="F666" s="417"/>
      <c r="G666" s="417"/>
      <c r="H666" s="417"/>
      <c r="I666" s="417"/>
      <c r="J666" s="417"/>
      <c r="K666" s="417"/>
      <c r="L666" s="417"/>
      <c r="M666" s="417"/>
      <c r="N666" s="417"/>
      <c r="O666" s="417"/>
      <c r="P666" s="417"/>
      <c r="Q666" s="417"/>
      <c r="R666" s="417"/>
      <c r="S666" s="417"/>
      <c r="T666" s="417"/>
      <c r="U666" s="417"/>
      <c r="V666" s="417"/>
      <c r="W666" s="417"/>
      <c r="X666" s="417"/>
      <c r="Y666" s="417"/>
      <c r="Z666" s="417"/>
    </row>
    <row r="667" spans="1:26" ht="15.75">
      <c r="A667" s="417"/>
      <c r="B667" s="417"/>
      <c r="C667" s="417"/>
      <c r="D667" s="417"/>
      <c r="E667" s="417"/>
      <c r="F667" s="417"/>
      <c r="G667" s="417"/>
      <c r="H667" s="417"/>
      <c r="I667" s="417"/>
      <c r="J667" s="417"/>
      <c r="K667" s="417"/>
      <c r="L667" s="417"/>
      <c r="M667" s="417"/>
      <c r="N667" s="417"/>
      <c r="O667" s="417"/>
      <c r="P667" s="417"/>
      <c r="Q667" s="417"/>
      <c r="R667" s="417"/>
      <c r="S667" s="417"/>
      <c r="T667" s="417"/>
      <c r="U667" s="417"/>
      <c r="V667" s="417"/>
      <c r="W667" s="417"/>
      <c r="X667" s="417"/>
      <c r="Y667" s="417"/>
      <c r="Z667" s="417"/>
    </row>
    <row r="668" spans="1:26" ht="15.75">
      <c r="A668" s="417"/>
      <c r="B668" s="417"/>
      <c r="C668" s="417"/>
      <c r="D668" s="417"/>
      <c r="E668" s="417"/>
      <c r="F668" s="417"/>
      <c r="G668" s="417"/>
      <c r="H668" s="417"/>
      <c r="I668" s="417"/>
      <c r="J668" s="417"/>
      <c r="K668" s="417"/>
      <c r="L668" s="417"/>
      <c r="M668" s="417"/>
      <c r="N668" s="417"/>
      <c r="O668" s="417"/>
      <c r="P668" s="417"/>
      <c r="Q668" s="417"/>
      <c r="R668" s="417"/>
      <c r="S668" s="417"/>
      <c r="T668" s="417"/>
      <c r="U668" s="417"/>
      <c r="V668" s="417"/>
      <c r="W668" s="417"/>
      <c r="X668" s="417"/>
      <c r="Y668" s="417"/>
      <c r="Z668" s="417"/>
    </row>
    <row r="669" spans="1:26" ht="15.75">
      <c r="A669" s="417"/>
      <c r="B669" s="417"/>
      <c r="C669" s="417"/>
      <c r="D669" s="417"/>
      <c r="E669" s="417"/>
      <c r="F669" s="417"/>
      <c r="G669" s="417"/>
      <c r="H669" s="417"/>
      <c r="I669" s="417"/>
      <c r="J669" s="417"/>
      <c r="K669" s="417"/>
      <c r="L669" s="417"/>
      <c r="M669" s="417"/>
      <c r="N669" s="417"/>
      <c r="O669" s="417"/>
      <c r="P669" s="417"/>
      <c r="Q669" s="417"/>
      <c r="R669" s="417"/>
      <c r="S669" s="417"/>
      <c r="T669" s="417"/>
      <c r="U669" s="417"/>
      <c r="V669" s="417"/>
      <c r="W669" s="417"/>
      <c r="X669" s="417"/>
      <c r="Y669" s="417"/>
      <c r="Z669" s="417"/>
    </row>
    <row r="670" spans="1:26" ht="15.75">
      <c r="A670" s="417"/>
      <c r="B670" s="417"/>
      <c r="C670" s="417"/>
      <c r="D670" s="417"/>
      <c r="E670" s="417"/>
      <c r="F670" s="417"/>
      <c r="G670" s="417"/>
      <c r="H670" s="417"/>
      <c r="I670" s="417"/>
      <c r="J670" s="417"/>
      <c r="K670" s="417"/>
      <c r="L670" s="417"/>
      <c r="M670" s="417"/>
      <c r="N670" s="417"/>
      <c r="O670" s="417"/>
      <c r="P670" s="417"/>
      <c r="Q670" s="417"/>
      <c r="R670" s="417"/>
      <c r="S670" s="417"/>
      <c r="T670" s="417"/>
      <c r="U670" s="417"/>
      <c r="V670" s="417"/>
      <c r="W670" s="417"/>
      <c r="X670" s="417"/>
      <c r="Y670" s="417"/>
      <c r="Z670" s="417"/>
    </row>
    <row r="671" spans="1:26" ht="15.75">
      <c r="A671" s="417"/>
      <c r="B671" s="417"/>
      <c r="C671" s="417"/>
      <c r="D671" s="417"/>
      <c r="E671" s="417"/>
      <c r="F671" s="417"/>
      <c r="G671" s="417"/>
      <c r="H671" s="417"/>
      <c r="I671" s="417"/>
      <c r="J671" s="417"/>
      <c r="K671" s="417"/>
      <c r="L671" s="417"/>
      <c r="M671" s="417"/>
      <c r="N671" s="417"/>
      <c r="O671" s="417"/>
      <c r="P671" s="417"/>
      <c r="Q671" s="417"/>
      <c r="R671" s="417"/>
      <c r="S671" s="417"/>
      <c r="T671" s="417"/>
      <c r="U671" s="417"/>
      <c r="V671" s="417"/>
      <c r="W671" s="417"/>
      <c r="X671" s="417"/>
      <c r="Y671" s="417"/>
      <c r="Z671" s="417"/>
    </row>
    <row r="672" spans="1:26" ht="15.75">
      <c r="A672" s="417"/>
      <c r="B672" s="417"/>
      <c r="C672" s="417"/>
      <c r="D672" s="417"/>
      <c r="E672" s="417"/>
      <c r="F672" s="417"/>
      <c r="G672" s="417"/>
      <c r="H672" s="417"/>
      <c r="I672" s="417"/>
      <c r="J672" s="417"/>
      <c r="K672" s="417"/>
      <c r="L672" s="417"/>
      <c r="M672" s="417"/>
      <c r="N672" s="417"/>
      <c r="O672" s="417"/>
      <c r="P672" s="417"/>
      <c r="Q672" s="417"/>
      <c r="R672" s="417"/>
      <c r="S672" s="417"/>
      <c r="T672" s="417"/>
      <c r="U672" s="417"/>
      <c r="V672" s="417"/>
      <c r="W672" s="417"/>
      <c r="X672" s="417"/>
      <c r="Y672" s="417"/>
      <c r="Z672" s="417"/>
    </row>
    <row r="673" spans="1:26" ht="15.75">
      <c r="A673" s="417"/>
      <c r="B673" s="417"/>
      <c r="C673" s="417"/>
      <c r="D673" s="417"/>
      <c r="E673" s="417"/>
      <c r="F673" s="417"/>
      <c r="G673" s="417"/>
      <c r="H673" s="417"/>
      <c r="I673" s="417"/>
      <c r="J673" s="417"/>
      <c r="K673" s="417"/>
      <c r="L673" s="417"/>
      <c r="M673" s="417"/>
      <c r="N673" s="417"/>
      <c r="O673" s="417"/>
      <c r="P673" s="417"/>
      <c r="Q673" s="417"/>
      <c r="R673" s="417"/>
      <c r="S673" s="417"/>
      <c r="T673" s="417"/>
      <c r="U673" s="417"/>
      <c r="V673" s="417"/>
      <c r="W673" s="417"/>
      <c r="X673" s="417"/>
      <c r="Y673" s="417"/>
      <c r="Z673" s="417"/>
    </row>
    <row r="674" spans="1:26" ht="15.75">
      <c r="A674" s="417"/>
      <c r="B674" s="417"/>
      <c r="C674" s="417"/>
      <c r="D674" s="417"/>
      <c r="E674" s="417"/>
      <c r="F674" s="417"/>
      <c r="G674" s="417"/>
      <c r="H674" s="417"/>
      <c r="I674" s="417"/>
      <c r="J674" s="417"/>
      <c r="K674" s="417"/>
      <c r="L674" s="417"/>
      <c r="M674" s="417"/>
      <c r="N674" s="417"/>
      <c r="O674" s="417"/>
      <c r="P674" s="417"/>
      <c r="Q674" s="417"/>
      <c r="R674" s="417"/>
      <c r="S674" s="417"/>
      <c r="T674" s="417"/>
      <c r="U674" s="417"/>
      <c r="V674" s="417"/>
      <c r="W674" s="417"/>
      <c r="X674" s="417"/>
      <c r="Y674" s="417"/>
      <c r="Z674" s="417"/>
    </row>
    <row r="675" spans="1:26" ht="15.75">
      <c r="A675" s="417"/>
      <c r="B675" s="417"/>
      <c r="C675" s="417"/>
      <c r="D675" s="417"/>
      <c r="E675" s="417"/>
      <c r="F675" s="417"/>
      <c r="G675" s="417"/>
      <c r="H675" s="417"/>
      <c r="I675" s="417"/>
      <c r="J675" s="417"/>
      <c r="K675" s="417"/>
      <c r="L675" s="417"/>
      <c r="M675" s="417"/>
      <c r="N675" s="417"/>
      <c r="O675" s="417"/>
      <c r="P675" s="417"/>
      <c r="Q675" s="417"/>
      <c r="R675" s="417"/>
      <c r="S675" s="417"/>
      <c r="T675" s="417"/>
      <c r="U675" s="417"/>
      <c r="V675" s="417"/>
      <c r="W675" s="417"/>
      <c r="X675" s="417"/>
      <c r="Y675" s="417"/>
      <c r="Z675" s="417"/>
    </row>
    <row r="676" spans="1:26" ht="15.75">
      <c r="A676" s="417"/>
      <c r="B676" s="417"/>
      <c r="C676" s="417"/>
      <c r="D676" s="417"/>
      <c r="E676" s="417"/>
      <c r="F676" s="417"/>
      <c r="G676" s="417"/>
      <c r="H676" s="417"/>
      <c r="I676" s="417"/>
      <c r="J676" s="417"/>
      <c r="K676" s="417"/>
      <c r="L676" s="417"/>
      <c r="M676" s="417"/>
      <c r="N676" s="417"/>
      <c r="O676" s="417"/>
      <c r="P676" s="417"/>
      <c r="Q676" s="417"/>
      <c r="R676" s="417"/>
      <c r="S676" s="417"/>
      <c r="T676" s="417"/>
      <c r="U676" s="417"/>
      <c r="V676" s="417"/>
      <c r="W676" s="417"/>
      <c r="X676" s="417"/>
      <c r="Y676" s="417"/>
      <c r="Z676" s="417"/>
    </row>
    <row r="677" spans="1:26" ht="15.75">
      <c r="A677" s="417"/>
      <c r="B677" s="417"/>
      <c r="C677" s="417"/>
      <c r="D677" s="417"/>
      <c r="E677" s="417"/>
      <c r="F677" s="417"/>
      <c r="G677" s="417"/>
      <c r="H677" s="417"/>
      <c r="I677" s="417"/>
      <c r="J677" s="417"/>
      <c r="K677" s="417"/>
      <c r="L677" s="417"/>
      <c r="M677" s="417"/>
      <c r="N677" s="417"/>
      <c r="O677" s="417"/>
      <c r="P677" s="417"/>
      <c r="Q677" s="417"/>
      <c r="R677" s="417"/>
      <c r="S677" s="417"/>
      <c r="T677" s="417"/>
      <c r="U677" s="417"/>
      <c r="V677" s="417"/>
      <c r="W677" s="417"/>
      <c r="X677" s="417"/>
      <c r="Y677" s="417"/>
      <c r="Z677" s="417"/>
    </row>
    <row r="678" spans="1:26" ht="15.75">
      <c r="A678" s="417"/>
      <c r="B678" s="417"/>
      <c r="C678" s="417"/>
      <c r="D678" s="417"/>
      <c r="E678" s="417"/>
      <c r="F678" s="417"/>
      <c r="G678" s="417"/>
      <c r="H678" s="417"/>
      <c r="I678" s="417"/>
      <c r="J678" s="417"/>
      <c r="K678" s="417"/>
      <c r="L678" s="417"/>
      <c r="M678" s="417"/>
      <c r="N678" s="417"/>
      <c r="O678" s="417"/>
      <c r="P678" s="417"/>
      <c r="Q678" s="417"/>
      <c r="R678" s="417"/>
      <c r="S678" s="417"/>
      <c r="T678" s="417"/>
      <c r="U678" s="417"/>
      <c r="V678" s="417"/>
      <c r="W678" s="417"/>
      <c r="X678" s="417"/>
      <c r="Y678" s="417"/>
      <c r="Z678" s="417"/>
    </row>
    <row r="679" spans="1:26" ht="15.75">
      <c r="A679" s="417"/>
      <c r="B679" s="417"/>
      <c r="C679" s="417"/>
      <c r="D679" s="417"/>
      <c r="E679" s="417"/>
      <c r="F679" s="417"/>
      <c r="G679" s="417"/>
      <c r="H679" s="417"/>
      <c r="I679" s="417"/>
      <c r="J679" s="417"/>
      <c r="K679" s="417"/>
      <c r="L679" s="417"/>
      <c r="M679" s="417"/>
      <c r="N679" s="417"/>
      <c r="O679" s="417"/>
      <c r="P679" s="417"/>
      <c r="Q679" s="417"/>
      <c r="R679" s="417"/>
      <c r="S679" s="417"/>
      <c r="T679" s="417"/>
      <c r="U679" s="417"/>
      <c r="V679" s="417"/>
      <c r="W679" s="417"/>
      <c r="X679" s="417"/>
      <c r="Y679" s="417"/>
      <c r="Z679" s="417"/>
    </row>
    <row r="680" spans="1:26" ht="15.75">
      <c r="A680" s="417"/>
      <c r="B680" s="417"/>
      <c r="C680" s="417"/>
      <c r="D680" s="417"/>
      <c r="E680" s="417"/>
      <c r="F680" s="417"/>
      <c r="G680" s="417"/>
      <c r="H680" s="417"/>
      <c r="I680" s="417"/>
      <c r="J680" s="417"/>
      <c r="K680" s="417"/>
      <c r="L680" s="417"/>
      <c r="M680" s="417"/>
      <c r="N680" s="417"/>
      <c r="O680" s="417"/>
      <c r="P680" s="417"/>
      <c r="Q680" s="417"/>
      <c r="R680" s="417"/>
      <c r="S680" s="417"/>
      <c r="T680" s="417"/>
      <c r="U680" s="417"/>
      <c r="V680" s="417"/>
      <c r="W680" s="417"/>
      <c r="X680" s="417"/>
      <c r="Y680" s="417"/>
      <c r="Z680" s="417"/>
    </row>
    <row r="681" spans="1:26" ht="15.75">
      <c r="A681" s="417"/>
      <c r="B681" s="417"/>
      <c r="C681" s="417"/>
      <c r="D681" s="417"/>
      <c r="E681" s="417"/>
      <c r="F681" s="417"/>
      <c r="G681" s="417"/>
      <c r="H681" s="417"/>
      <c r="I681" s="417"/>
      <c r="J681" s="417"/>
      <c r="K681" s="417"/>
      <c r="L681" s="417"/>
      <c r="M681" s="417"/>
      <c r="N681" s="417"/>
      <c r="O681" s="417"/>
      <c r="P681" s="417"/>
      <c r="Q681" s="417"/>
      <c r="R681" s="417"/>
      <c r="S681" s="417"/>
      <c r="T681" s="417"/>
      <c r="U681" s="417"/>
      <c r="V681" s="417"/>
      <c r="W681" s="417"/>
      <c r="X681" s="417"/>
      <c r="Y681" s="417"/>
      <c r="Z681" s="417"/>
    </row>
    <row r="682" spans="1:26" ht="15.75">
      <c r="A682" s="417"/>
      <c r="B682" s="417"/>
      <c r="C682" s="417"/>
      <c r="D682" s="417"/>
      <c r="E682" s="417"/>
      <c r="F682" s="417"/>
      <c r="G682" s="417"/>
      <c r="H682" s="417"/>
      <c r="I682" s="417"/>
      <c r="J682" s="417"/>
      <c r="K682" s="417"/>
      <c r="L682" s="417"/>
      <c r="M682" s="417"/>
      <c r="N682" s="417"/>
      <c r="O682" s="417"/>
      <c r="P682" s="417"/>
      <c r="Q682" s="417"/>
      <c r="R682" s="417"/>
      <c r="S682" s="417"/>
      <c r="T682" s="417"/>
      <c r="U682" s="417"/>
      <c r="V682" s="417"/>
      <c r="W682" s="417"/>
      <c r="X682" s="417"/>
      <c r="Y682" s="417"/>
      <c r="Z682" s="417"/>
    </row>
    <row r="683" spans="1:26" ht="15.75">
      <c r="A683" s="417"/>
      <c r="B683" s="417"/>
      <c r="C683" s="417"/>
      <c r="D683" s="417"/>
      <c r="E683" s="417"/>
      <c r="F683" s="417"/>
      <c r="G683" s="417"/>
      <c r="H683" s="417"/>
      <c r="I683" s="417"/>
      <c r="J683" s="417"/>
      <c r="K683" s="417"/>
      <c r="L683" s="417"/>
      <c r="M683" s="417"/>
      <c r="N683" s="417"/>
      <c r="O683" s="417"/>
      <c r="P683" s="417"/>
      <c r="Q683" s="417"/>
      <c r="R683" s="417"/>
      <c r="S683" s="417"/>
      <c r="T683" s="417"/>
      <c r="U683" s="417"/>
      <c r="V683" s="417"/>
      <c r="W683" s="417"/>
      <c r="X683" s="417"/>
      <c r="Y683" s="417"/>
      <c r="Z683" s="417"/>
    </row>
    <row r="684" spans="1:26" ht="15.75">
      <c r="A684" s="417"/>
      <c r="B684" s="417"/>
      <c r="C684" s="417"/>
      <c r="D684" s="417"/>
      <c r="E684" s="417"/>
      <c r="F684" s="417"/>
      <c r="G684" s="417"/>
      <c r="H684" s="417"/>
      <c r="I684" s="417"/>
      <c r="J684" s="417"/>
      <c r="K684" s="417"/>
      <c r="L684" s="417"/>
      <c r="M684" s="417"/>
      <c r="N684" s="417"/>
      <c r="O684" s="417"/>
      <c r="P684" s="417"/>
      <c r="Q684" s="417"/>
      <c r="R684" s="417"/>
      <c r="S684" s="417"/>
      <c r="T684" s="417"/>
      <c r="U684" s="417"/>
      <c r="V684" s="417"/>
      <c r="W684" s="417"/>
      <c r="X684" s="417"/>
      <c r="Y684" s="417"/>
      <c r="Z684" s="417"/>
    </row>
    <row r="685" spans="1:26" ht="15.75">
      <c r="A685" s="417"/>
      <c r="B685" s="417"/>
      <c r="C685" s="417"/>
      <c r="D685" s="417"/>
      <c r="E685" s="417"/>
      <c r="F685" s="417"/>
      <c r="G685" s="417"/>
      <c r="H685" s="417"/>
      <c r="I685" s="417"/>
      <c r="J685" s="417"/>
      <c r="K685" s="417"/>
      <c r="L685" s="417"/>
      <c r="M685" s="417"/>
      <c r="N685" s="417"/>
      <c r="O685" s="417"/>
      <c r="P685" s="417"/>
      <c r="Q685" s="417"/>
      <c r="R685" s="417"/>
      <c r="S685" s="417"/>
      <c r="T685" s="417"/>
      <c r="U685" s="417"/>
      <c r="V685" s="417"/>
      <c r="W685" s="417"/>
      <c r="X685" s="417"/>
      <c r="Y685" s="417"/>
      <c r="Z685" s="417"/>
    </row>
    <row r="686" spans="1:26" ht="15.75">
      <c r="A686" s="417"/>
      <c r="B686" s="417"/>
      <c r="C686" s="417"/>
      <c r="D686" s="417"/>
      <c r="E686" s="417"/>
      <c r="F686" s="417"/>
      <c r="G686" s="417"/>
      <c r="H686" s="417"/>
      <c r="I686" s="417"/>
      <c r="J686" s="417"/>
      <c r="K686" s="417"/>
      <c r="L686" s="417"/>
      <c r="M686" s="417"/>
      <c r="N686" s="417"/>
      <c r="O686" s="417"/>
      <c r="P686" s="417"/>
      <c r="Q686" s="417"/>
      <c r="R686" s="417"/>
      <c r="S686" s="417"/>
      <c r="T686" s="417"/>
      <c r="U686" s="417"/>
      <c r="V686" s="417"/>
      <c r="W686" s="417"/>
      <c r="X686" s="417"/>
      <c r="Y686" s="417"/>
      <c r="Z686" s="417"/>
    </row>
    <row r="687" spans="1:26" ht="15.75">
      <c r="A687" s="417"/>
      <c r="B687" s="417"/>
      <c r="C687" s="417"/>
      <c r="D687" s="417"/>
      <c r="E687" s="417"/>
      <c r="F687" s="417"/>
      <c r="G687" s="417"/>
      <c r="H687" s="417"/>
      <c r="I687" s="417"/>
      <c r="J687" s="417"/>
      <c r="K687" s="417"/>
      <c r="L687" s="417"/>
      <c r="M687" s="417"/>
      <c r="N687" s="417"/>
      <c r="O687" s="417"/>
      <c r="P687" s="417"/>
      <c r="Q687" s="417"/>
      <c r="R687" s="417"/>
      <c r="S687" s="417"/>
      <c r="T687" s="417"/>
      <c r="U687" s="417"/>
      <c r="V687" s="417"/>
      <c r="W687" s="417"/>
      <c r="X687" s="417"/>
      <c r="Y687" s="417"/>
      <c r="Z687" s="417"/>
    </row>
    <row r="688" spans="1:26" ht="15.75">
      <c r="A688" s="417"/>
      <c r="B688" s="417"/>
      <c r="C688" s="417"/>
      <c r="D688" s="417"/>
      <c r="E688" s="417"/>
      <c r="F688" s="417"/>
      <c r="G688" s="417"/>
      <c r="H688" s="417"/>
      <c r="I688" s="417"/>
      <c r="J688" s="417"/>
      <c r="K688" s="417"/>
      <c r="L688" s="417"/>
      <c r="M688" s="417"/>
      <c r="N688" s="417"/>
      <c r="O688" s="417"/>
      <c r="P688" s="417"/>
      <c r="Q688" s="417"/>
      <c r="R688" s="417"/>
      <c r="S688" s="417"/>
      <c r="T688" s="417"/>
      <c r="U688" s="417"/>
      <c r="V688" s="417"/>
      <c r="W688" s="417"/>
      <c r="X688" s="417"/>
      <c r="Y688" s="417"/>
      <c r="Z688" s="417"/>
    </row>
    <row r="689" spans="1:26" ht="15.75">
      <c r="A689" s="417"/>
      <c r="B689" s="417"/>
      <c r="C689" s="417"/>
      <c r="D689" s="417"/>
      <c r="E689" s="417"/>
      <c r="F689" s="417"/>
      <c r="G689" s="417"/>
      <c r="H689" s="417"/>
      <c r="I689" s="417"/>
      <c r="J689" s="417"/>
      <c r="K689" s="417"/>
      <c r="L689" s="417"/>
      <c r="M689" s="417"/>
      <c r="N689" s="417"/>
      <c r="O689" s="417"/>
      <c r="P689" s="417"/>
      <c r="Q689" s="417"/>
      <c r="R689" s="417"/>
      <c r="S689" s="417"/>
      <c r="T689" s="417"/>
      <c r="U689" s="417"/>
      <c r="V689" s="417"/>
      <c r="W689" s="417"/>
      <c r="X689" s="417"/>
      <c r="Y689" s="417"/>
      <c r="Z689" s="417"/>
    </row>
    <row r="690" spans="1:26" ht="15.75">
      <c r="A690" s="417"/>
      <c r="B690" s="417"/>
      <c r="C690" s="417"/>
      <c r="D690" s="417"/>
      <c r="E690" s="417"/>
      <c r="F690" s="417"/>
      <c r="G690" s="417"/>
      <c r="H690" s="417"/>
      <c r="I690" s="417"/>
      <c r="J690" s="417"/>
      <c r="K690" s="417"/>
      <c r="L690" s="417"/>
      <c r="M690" s="417"/>
      <c r="N690" s="417"/>
      <c r="O690" s="417"/>
      <c r="P690" s="417"/>
      <c r="Q690" s="417"/>
      <c r="R690" s="417"/>
      <c r="S690" s="417"/>
      <c r="T690" s="417"/>
      <c r="U690" s="417"/>
      <c r="V690" s="417"/>
      <c r="W690" s="417"/>
      <c r="X690" s="417"/>
      <c r="Y690" s="417"/>
      <c r="Z690" s="417"/>
    </row>
    <row r="691" spans="1:26" ht="15.75">
      <c r="A691" s="417"/>
      <c r="B691" s="417"/>
      <c r="C691" s="417"/>
      <c r="D691" s="417"/>
      <c r="E691" s="417"/>
      <c r="F691" s="417"/>
      <c r="G691" s="417"/>
      <c r="H691" s="417"/>
      <c r="I691" s="417"/>
      <c r="J691" s="417"/>
      <c r="K691" s="417"/>
      <c r="L691" s="417"/>
      <c r="M691" s="417"/>
      <c r="N691" s="417"/>
      <c r="O691" s="417"/>
      <c r="P691" s="417"/>
      <c r="Q691" s="417"/>
      <c r="R691" s="417"/>
      <c r="S691" s="417"/>
      <c r="T691" s="417"/>
      <c r="U691" s="417"/>
      <c r="V691" s="417"/>
      <c r="W691" s="417"/>
      <c r="X691" s="417"/>
      <c r="Y691" s="417"/>
      <c r="Z691" s="417"/>
    </row>
    <row r="692" spans="1:26" ht="15.75">
      <c r="A692" s="417"/>
      <c r="B692" s="417"/>
      <c r="C692" s="417"/>
      <c r="D692" s="417"/>
      <c r="E692" s="417"/>
      <c r="F692" s="417"/>
      <c r="G692" s="417"/>
      <c r="H692" s="417"/>
      <c r="I692" s="417"/>
      <c r="J692" s="417"/>
      <c r="K692" s="417"/>
      <c r="L692" s="417"/>
      <c r="M692" s="417"/>
      <c r="N692" s="417"/>
      <c r="O692" s="417"/>
      <c r="P692" s="417"/>
      <c r="Q692" s="417"/>
      <c r="R692" s="417"/>
      <c r="S692" s="417"/>
      <c r="T692" s="417"/>
      <c r="U692" s="417"/>
      <c r="V692" s="417"/>
      <c r="W692" s="417"/>
      <c r="X692" s="417"/>
      <c r="Y692" s="417"/>
      <c r="Z692" s="417"/>
    </row>
    <row r="693" spans="1:26" ht="15.75">
      <c r="A693" s="417"/>
      <c r="B693" s="417"/>
      <c r="C693" s="417"/>
      <c r="D693" s="417"/>
      <c r="E693" s="417"/>
      <c r="F693" s="417"/>
      <c r="G693" s="417"/>
      <c r="H693" s="417"/>
      <c r="I693" s="417"/>
      <c r="J693" s="417"/>
      <c r="K693" s="417"/>
      <c r="L693" s="417"/>
      <c r="M693" s="417"/>
      <c r="N693" s="417"/>
      <c r="O693" s="417"/>
      <c r="P693" s="417"/>
      <c r="Q693" s="417"/>
      <c r="R693" s="417"/>
      <c r="S693" s="417"/>
      <c r="T693" s="417"/>
      <c r="U693" s="417"/>
      <c r="V693" s="417"/>
      <c r="W693" s="417"/>
      <c r="X693" s="417"/>
      <c r="Y693" s="417"/>
      <c r="Z693" s="417"/>
    </row>
    <row r="694" spans="1:26" ht="15.75">
      <c r="A694" s="417"/>
      <c r="B694" s="417"/>
      <c r="C694" s="417"/>
      <c r="D694" s="417"/>
      <c r="E694" s="417"/>
      <c r="F694" s="417"/>
      <c r="G694" s="417"/>
      <c r="H694" s="417"/>
      <c r="I694" s="417"/>
      <c r="J694" s="417"/>
      <c r="K694" s="417"/>
      <c r="L694" s="417"/>
      <c r="M694" s="417"/>
      <c r="N694" s="417"/>
      <c r="O694" s="417"/>
      <c r="P694" s="417"/>
      <c r="Q694" s="417"/>
      <c r="R694" s="417"/>
      <c r="S694" s="417"/>
      <c r="T694" s="417"/>
      <c r="U694" s="417"/>
      <c r="V694" s="417"/>
      <c r="W694" s="417"/>
      <c r="X694" s="417"/>
      <c r="Y694" s="417"/>
      <c r="Z694" s="417"/>
    </row>
    <row r="695" spans="1:26" ht="15.75">
      <c r="A695" s="417"/>
      <c r="B695" s="417"/>
      <c r="C695" s="417"/>
      <c r="D695" s="417"/>
      <c r="E695" s="417"/>
      <c r="F695" s="417"/>
      <c r="G695" s="417"/>
      <c r="H695" s="417"/>
      <c r="I695" s="417"/>
      <c r="J695" s="417"/>
      <c r="K695" s="417"/>
      <c r="L695" s="417"/>
      <c r="M695" s="417"/>
      <c r="N695" s="417"/>
      <c r="O695" s="417"/>
      <c r="P695" s="417"/>
      <c r="Q695" s="417"/>
      <c r="R695" s="417"/>
      <c r="S695" s="417"/>
      <c r="T695" s="417"/>
      <c r="U695" s="417"/>
      <c r="V695" s="417"/>
      <c r="W695" s="417"/>
      <c r="X695" s="417"/>
      <c r="Y695" s="417"/>
      <c r="Z695" s="417"/>
    </row>
    <row r="696" spans="1:26" ht="15.75">
      <c r="A696" s="417"/>
      <c r="B696" s="417"/>
      <c r="C696" s="417"/>
      <c r="D696" s="417"/>
      <c r="E696" s="417"/>
      <c r="F696" s="417"/>
      <c r="G696" s="417"/>
      <c r="H696" s="417"/>
      <c r="I696" s="417"/>
      <c r="J696" s="417"/>
      <c r="K696" s="417"/>
      <c r="L696" s="417"/>
      <c r="M696" s="417"/>
      <c r="N696" s="417"/>
      <c r="O696" s="417"/>
      <c r="P696" s="417"/>
      <c r="Q696" s="417"/>
      <c r="R696" s="417"/>
      <c r="S696" s="417"/>
      <c r="T696" s="417"/>
      <c r="U696" s="417"/>
      <c r="V696" s="417"/>
      <c r="W696" s="417"/>
      <c r="X696" s="417"/>
      <c r="Y696" s="417"/>
      <c r="Z696" s="417"/>
    </row>
    <row r="697" spans="1:26" ht="15.75">
      <c r="A697" s="417"/>
      <c r="B697" s="417"/>
      <c r="C697" s="417"/>
      <c r="D697" s="417"/>
      <c r="E697" s="417"/>
      <c r="F697" s="417"/>
      <c r="G697" s="417"/>
      <c r="H697" s="417"/>
      <c r="I697" s="417"/>
      <c r="J697" s="417"/>
      <c r="K697" s="417"/>
      <c r="L697" s="417"/>
      <c r="M697" s="417"/>
      <c r="N697" s="417"/>
      <c r="O697" s="417"/>
      <c r="P697" s="417"/>
      <c r="Q697" s="417"/>
      <c r="R697" s="417"/>
      <c r="S697" s="417"/>
      <c r="T697" s="417"/>
      <c r="U697" s="417"/>
      <c r="V697" s="417"/>
      <c r="W697" s="417"/>
      <c r="X697" s="417"/>
      <c r="Y697" s="417"/>
      <c r="Z697" s="417"/>
    </row>
    <row r="698" spans="1:26" ht="15.75">
      <c r="A698" s="417"/>
      <c r="B698" s="417"/>
      <c r="C698" s="417"/>
      <c r="D698" s="417"/>
      <c r="E698" s="417"/>
      <c r="F698" s="417"/>
      <c r="G698" s="417"/>
      <c r="H698" s="417"/>
      <c r="I698" s="417"/>
      <c r="J698" s="417"/>
      <c r="K698" s="417"/>
      <c r="L698" s="417"/>
      <c r="M698" s="417"/>
      <c r="N698" s="417"/>
      <c r="O698" s="417"/>
      <c r="P698" s="417"/>
      <c r="Q698" s="417"/>
      <c r="R698" s="417"/>
      <c r="S698" s="417"/>
      <c r="T698" s="417"/>
      <c r="U698" s="417"/>
      <c r="V698" s="417"/>
      <c r="W698" s="417"/>
      <c r="X698" s="417"/>
      <c r="Y698" s="417"/>
      <c r="Z698" s="417"/>
    </row>
    <row r="699" spans="1:26" ht="15.75">
      <c r="A699" s="417"/>
      <c r="B699" s="417"/>
      <c r="C699" s="417"/>
      <c r="D699" s="417"/>
      <c r="E699" s="417"/>
      <c r="F699" s="417"/>
      <c r="G699" s="417"/>
      <c r="H699" s="417"/>
      <c r="I699" s="417"/>
      <c r="J699" s="417"/>
      <c r="K699" s="417"/>
      <c r="L699" s="417"/>
      <c r="M699" s="417"/>
      <c r="N699" s="417"/>
      <c r="O699" s="417"/>
      <c r="P699" s="417"/>
      <c r="Q699" s="417"/>
      <c r="R699" s="417"/>
      <c r="S699" s="417"/>
      <c r="T699" s="417"/>
      <c r="U699" s="417"/>
      <c r="V699" s="417"/>
      <c r="W699" s="417"/>
      <c r="X699" s="417"/>
      <c r="Y699" s="417"/>
      <c r="Z699" s="417"/>
    </row>
    <row r="700" spans="1:26" ht="15.75">
      <c r="A700" s="417"/>
      <c r="B700" s="417"/>
      <c r="C700" s="417"/>
      <c r="D700" s="417"/>
      <c r="E700" s="417"/>
      <c r="F700" s="417"/>
      <c r="G700" s="417"/>
      <c r="H700" s="417"/>
      <c r="I700" s="417"/>
      <c r="J700" s="417"/>
      <c r="K700" s="417"/>
      <c r="L700" s="417"/>
      <c r="M700" s="417"/>
      <c r="N700" s="417"/>
      <c r="O700" s="417"/>
      <c r="P700" s="417"/>
      <c r="Q700" s="417"/>
      <c r="R700" s="417"/>
      <c r="S700" s="417"/>
      <c r="T700" s="417"/>
      <c r="U700" s="417"/>
      <c r="V700" s="417"/>
      <c r="W700" s="417"/>
      <c r="X700" s="417"/>
      <c r="Y700" s="417"/>
      <c r="Z700" s="417"/>
    </row>
    <row r="701" spans="1:26" ht="15.75">
      <c r="A701" s="417"/>
      <c r="B701" s="417"/>
      <c r="C701" s="417"/>
      <c r="D701" s="417"/>
      <c r="E701" s="417"/>
      <c r="F701" s="417"/>
      <c r="G701" s="417"/>
      <c r="H701" s="417"/>
      <c r="I701" s="417"/>
      <c r="J701" s="417"/>
      <c r="K701" s="417"/>
      <c r="L701" s="417"/>
      <c r="M701" s="417"/>
      <c r="N701" s="417"/>
      <c r="O701" s="417"/>
      <c r="P701" s="417"/>
      <c r="Q701" s="417"/>
      <c r="R701" s="417"/>
      <c r="S701" s="417"/>
      <c r="T701" s="417"/>
      <c r="U701" s="417"/>
      <c r="V701" s="417"/>
      <c r="W701" s="417"/>
      <c r="X701" s="417"/>
      <c r="Y701" s="417"/>
      <c r="Z701" s="417"/>
    </row>
    <row r="702" spans="1:26" ht="15.75">
      <c r="A702" s="417"/>
      <c r="B702" s="417"/>
      <c r="C702" s="417"/>
      <c r="D702" s="417"/>
      <c r="E702" s="417"/>
      <c r="F702" s="417"/>
      <c r="G702" s="417"/>
      <c r="H702" s="417"/>
      <c r="I702" s="417"/>
      <c r="J702" s="417"/>
      <c r="K702" s="417"/>
      <c r="L702" s="417"/>
      <c r="M702" s="417"/>
      <c r="N702" s="417"/>
      <c r="O702" s="417"/>
      <c r="P702" s="417"/>
      <c r="Q702" s="417"/>
      <c r="R702" s="417"/>
      <c r="S702" s="417"/>
      <c r="T702" s="417"/>
      <c r="U702" s="417"/>
      <c r="V702" s="417"/>
      <c r="W702" s="417"/>
      <c r="X702" s="417"/>
      <c r="Y702" s="417"/>
      <c r="Z702" s="417"/>
    </row>
    <row r="703" spans="1:26" ht="15.75">
      <c r="A703" s="417"/>
      <c r="B703" s="417"/>
      <c r="C703" s="417"/>
      <c r="D703" s="417"/>
      <c r="E703" s="417"/>
      <c r="F703" s="417"/>
      <c r="G703" s="417"/>
      <c r="H703" s="417"/>
      <c r="I703" s="417"/>
      <c r="J703" s="417"/>
      <c r="K703" s="417"/>
      <c r="L703" s="417"/>
      <c r="M703" s="417"/>
      <c r="N703" s="417"/>
      <c r="O703" s="417"/>
      <c r="P703" s="417"/>
      <c r="Q703" s="417"/>
      <c r="R703" s="417"/>
      <c r="S703" s="417"/>
      <c r="T703" s="417"/>
      <c r="U703" s="417"/>
      <c r="V703" s="417"/>
      <c r="W703" s="417"/>
      <c r="X703" s="417"/>
      <c r="Y703" s="417"/>
      <c r="Z703" s="417"/>
    </row>
    <row r="704" spans="1:26" ht="15.75">
      <c r="A704" s="417"/>
      <c r="B704" s="417"/>
      <c r="C704" s="417"/>
      <c r="D704" s="417"/>
      <c r="E704" s="417"/>
      <c r="F704" s="417"/>
      <c r="G704" s="417"/>
      <c r="H704" s="417"/>
      <c r="I704" s="417"/>
      <c r="J704" s="417"/>
      <c r="K704" s="417"/>
      <c r="L704" s="417"/>
      <c r="M704" s="417"/>
      <c r="N704" s="417"/>
      <c r="O704" s="417"/>
      <c r="P704" s="417"/>
      <c r="Q704" s="417"/>
      <c r="R704" s="417"/>
      <c r="S704" s="417"/>
      <c r="T704" s="417"/>
      <c r="U704" s="417"/>
      <c r="V704" s="417"/>
      <c r="W704" s="417"/>
      <c r="X704" s="417"/>
      <c r="Y704" s="417"/>
      <c r="Z704" s="417"/>
    </row>
    <row r="705" spans="1:26" ht="15.75">
      <c r="A705" s="417"/>
      <c r="B705" s="417"/>
      <c r="C705" s="417"/>
      <c r="D705" s="417"/>
      <c r="E705" s="417"/>
      <c r="F705" s="417"/>
      <c r="G705" s="417"/>
      <c r="H705" s="417"/>
      <c r="I705" s="417"/>
      <c r="J705" s="417"/>
      <c r="K705" s="417"/>
      <c r="L705" s="417"/>
      <c r="M705" s="417"/>
      <c r="N705" s="417"/>
      <c r="O705" s="417"/>
      <c r="P705" s="417"/>
      <c r="Q705" s="417"/>
      <c r="R705" s="417"/>
      <c r="S705" s="417"/>
      <c r="T705" s="417"/>
      <c r="U705" s="417"/>
      <c r="V705" s="417"/>
      <c r="W705" s="417"/>
      <c r="X705" s="417"/>
      <c r="Y705" s="417"/>
      <c r="Z705" s="417"/>
    </row>
    <row r="706" spans="1:26" ht="15.75">
      <c r="A706" s="417"/>
      <c r="B706" s="417"/>
      <c r="C706" s="417"/>
      <c r="D706" s="417"/>
      <c r="E706" s="417"/>
      <c r="F706" s="417"/>
      <c r="G706" s="417"/>
      <c r="H706" s="417"/>
      <c r="I706" s="417"/>
      <c r="J706" s="417"/>
      <c r="K706" s="417"/>
      <c r="L706" s="417"/>
      <c r="M706" s="417"/>
      <c r="N706" s="417"/>
      <c r="O706" s="417"/>
      <c r="P706" s="417"/>
      <c r="Q706" s="417"/>
      <c r="R706" s="417"/>
      <c r="S706" s="417"/>
      <c r="T706" s="417"/>
      <c r="U706" s="417"/>
      <c r="V706" s="417"/>
      <c r="W706" s="417"/>
      <c r="X706" s="417"/>
      <c r="Y706" s="417"/>
      <c r="Z706" s="417"/>
    </row>
    <row r="707" spans="1:26" ht="15.75">
      <c r="A707" s="417"/>
      <c r="B707" s="417"/>
      <c r="C707" s="417"/>
      <c r="D707" s="417"/>
      <c r="E707" s="417"/>
      <c r="F707" s="417"/>
      <c r="G707" s="417"/>
      <c r="H707" s="417"/>
      <c r="I707" s="417"/>
      <c r="J707" s="417"/>
      <c r="K707" s="417"/>
      <c r="L707" s="417"/>
      <c r="M707" s="417"/>
      <c r="N707" s="417"/>
      <c r="O707" s="417"/>
      <c r="P707" s="417"/>
      <c r="Q707" s="417"/>
      <c r="R707" s="417"/>
      <c r="S707" s="417"/>
      <c r="T707" s="417"/>
      <c r="U707" s="417"/>
      <c r="V707" s="417"/>
      <c r="W707" s="417"/>
      <c r="X707" s="417"/>
      <c r="Y707" s="417"/>
      <c r="Z707" s="417"/>
    </row>
    <row r="708" spans="1:26" ht="15.75">
      <c r="A708" s="417"/>
      <c r="B708" s="417"/>
      <c r="C708" s="417"/>
      <c r="D708" s="417"/>
      <c r="E708" s="417"/>
      <c r="F708" s="417"/>
      <c r="G708" s="417"/>
      <c r="H708" s="417"/>
      <c r="I708" s="417"/>
      <c r="J708" s="417"/>
      <c r="K708" s="417"/>
      <c r="L708" s="417"/>
      <c r="M708" s="417"/>
      <c r="N708" s="417"/>
      <c r="O708" s="417"/>
      <c r="P708" s="417"/>
      <c r="Q708" s="417"/>
      <c r="R708" s="417"/>
      <c r="S708" s="417"/>
      <c r="T708" s="417"/>
      <c r="U708" s="417"/>
      <c r="V708" s="417"/>
      <c r="W708" s="417"/>
      <c r="X708" s="417"/>
      <c r="Y708" s="417"/>
      <c r="Z708" s="417"/>
    </row>
    <row r="709" spans="1:26" ht="15.75">
      <c r="A709" s="417"/>
      <c r="B709" s="417"/>
      <c r="C709" s="417"/>
      <c r="D709" s="417"/>
      <c r="E709" s="417"/>
      <c r="F709" s="417"/>
      <c r="G709" s="417"/>
      <c r="H709" s="417"/>
      <c r="I709" s="417"/>
      <c r="J709" s="417"/>
      <c r="K709" s="417"/>
      <c r="L709" s="417"/>
      <c r="M709" s="417"/>
      <c r="N709" s="417"/>
      <c r="O709" s="417"/>
      <c r="P709" s="417"/>
      <c r="Q709" s="417"/>
      <c r="R709" s="417"/>
      <c r="S709" s="417"/>
      <c r="T709" s="417"/>
      <c r="U709" s="417"/>
      <c r="V709" s="417"/>
      <c r="W709" s="417"/>
      <c r="X709" s="417"/>
      <c r="Y709" s="417"/>
      <c r="Z709" s="417"/>
    </row>
    <row r="710" spans="1:26" ht="15.75">
      <c r="A710" s="417"/>
      <c r="B710" s="417"/>
      <c r="C710" s="417"/>
      <c r="D710" s="417"/>
      <c r="E710" s="417"/>
      <c r="F710" s="417"/>
      <c r="G710" s="417"/>
      <c r="H710" s="417"/>
      <c r="I710" s="417"/>
      <c r="J710" s="417"/>
      <c r="K710" s="417"/>
      <c r="L710" s="417"/>
      <c r="M710" s="417"/>
      <c r="N710" s="417"/>
      <c r="O710" s="417"/>
      <c r="P710" s="417"/>
      <c r="Q710" s="417"/>
      <c r="R710" s="417"/>
      <c r="S710" s="417"/>
      <c r="T710" s="417"/>
      <c r="U710" s="417"/>
      <c r="V710" s="417"/>
      <c r="W710" s="417"/>
      <c r="X710" s="417"/>
      <c r="Y710" s="417"/>
      <c r="Z710" s="417"/>
    </row>
    <row r="711" spans="1:26" ht="15.75">
      <c r="A711" s="417"/>
      <c r="B711" s="417"/>
      <c r="C711" s="417"/>
      <c r="D711" s="417"/>
      <c r="E711" s="417"/>
      <c r="F711" s="417"/>
      <c r="G711" s="417"/>
      <c r="H711" s="417"/>
      <c r="I711" s="417"/>
      <c r="J711" s="417"/>
      <c r="K711" s="417"/>
      <c r="L711" s="417"/>
      <c r="M711" s="417"/>
      <c r="N711" s="417"/>
      <c r="O711" s="417"/>
      <c r="P711" s="417"/>
      <c r="Q711" s="417"/>
      <c r="R711" s="417"/>
      <c r="S711" s="417"/>
      <c r="T711" s="417"/>
      <c r="U711" s="417"/>
      <c r="V711" s="417"/>
      <c r="W711" s="417"/>
      <c r="X711" s="417"/>
      <c r="Y711" s="417"/>
      <c r="Z711" s="417"/>
    </row>
    <row r="712" spans="1:26" ht="15.75">
      <c r="A712" s="417"/>
      <c r="B712" s="417"/>
      <c r="C712" s="417"/>
      <c r="D712" s="417"/>
      <c r="E712" s="417"/>
      <c r="F712" s="417"/>
      <c r="G712" s="417"/>
      <c r="H712" s="417"/>
      <c r="I712" s="417"/>
      <c r="J712" s="417"/>
      <c r="K712" s="417"/>
      <c r="L712" s="417"/>
      <c r="M712" s="417"/>
      <c r="N712" s="417"/>
      <c r="O712" s="417"/>
      <c r="P712" s="417"/>
      <c r="Q712" s="417"/>
      <c r="R712" s="417"/>
      <c r="S712" s="417"/>
      <c r="T712" s="417"/>
      <c r="U712" s="417"/>
      <c r="V712" s="417"/>
      <c r="W712" s="417"/>
      <c r="X712" s="417"/>
      <c r="Y712" s="417"/>
      <c r="Z712" s="417"/>
    </row>
    <row r="713" spans="1:26" ht="15.75">
      <c r="A713" s="417"/>
      <c r="B713" s="417"/>
      <c r="C713" s="417"/>
      <c r="D713" s="417"/>
      <c r="E713" s="417"/>
      <c r="F713" s="417"/>
      <c r="G713" s="417"/>
      <c r="H713" s="417"/>
      <c r="I713" s="417"/>
      <c r="J713" s="417"/>
      <c r="K713" s="417"/>
      <c r="L713" s="417"/>
      <c r="M713" s="417"/>
      <c r="N713" s="417"/>
      <c r="O713" s="417"/>
      <c r="P713" s="417"/>
      <c r="Q713" s="417"/>
      <c r="R713" s="417"/>
      <c r="S713" s="417"/>
      <c r="T713" s="417"/>
      <c r="U713" s="417"/>
      <c r="V713" s="417"/>
      <c r="W713" s="417"/>
      <c r="X713" s="417"/>
      <c r="Y713" s="417"/>
      <c r="Z713" s="417"/>
    </row>
    <row r="714" spans="1:26" ht="15.75">
      <c r="A714" s="417"/>
      <c r="B714" s="417"/>
      <c r="C714" s="417"/>
      <c r="D714" s="417"/>
      <c r="E714" s="417"/>
      <c r="F714" s="417"/>
      <c r="G714" s="417"/>
      <c r="H714" s="417"/>
      <c r="I714" s="417"/>
      <c r="J714" s="417"/>
      <c r="K714" s="417"/>
      <c r="L714" s="417"/>
      <c r="M714" s="417"/>
      <c r="N714" s="417"/>
      <c r="O714" s="417"/>
      <c r="P714" s="417"/>
      <c r="Q714" s="417"/>
      <c r="R714" s="417"/>
      <c r="S714" s="417"/>
      <c r="T714" s="417"/>
      <c r="U714" s="417"/>
      <c r="V714" s="417"/>
      <c r="W714" s="417"/>
      <c r="X714" s="417"/>
      <c r="Y714" s="417"/>
      <c r="Z714" s="417"/>
    </row>
    <row r="715" spans="1:26" ht="15.75">
      <c r="A715" s="417"/>
      <c r="B715" s="417"/>
      <c r="C715" s="417"/>
      <c r="D715" s="417"/>
      <c r="E715" s="417"/>
      <c r="F715" s="417"/>
      <c r="G715" s="417"/>
      <c r="H715" s="417"/>
      <c r="I715" s="417"/>
      <c r="J715" s="417"/>
      <c r="K715" s="417"/>
      <c r="L715" s="417"/>
      <c r="M715" s="417"/>
      <c r="N715" s="417"/>
      <c r="O715" s="417"/>
      <c r="P715" s="417"/>
      <c r="Q715" s="417"/>
      <c r="R715" s="417"/>
      <c r="S715" s="417"/>
      <c r="T715" s="417"/>
      <c r="U715" s="417"/>
      <c r="V715" s="417"/>
      <c r="W715" s="417"/>
      <c r="X715" s="417"/>
      <c r="Y715" s="417"/>
      <c r="Z715" s="417"/>
    </row>
    <row r="716" spans="1:26" ht="15.75">
      <c r="A716" s="417"/>
      <c r="B716" s="417"/>
      <c r="C716" s="417"/>
      <c r="D716" s="417"/>
      <c r="E716" s="417"/>
      <c r="F716" s="417"/>
      <c r="G716" s="417"/>
      <c r="H716" s="417"/>
      <c r="I716" s="417"/>
      <c r="J716" s="417"/>
      <c r="K716" s="417"/>
      <c r="L716" s="417"/>
      <c r="M716" s="417"/>
      <c r="N716" s="417"/>
      <c r="O716" s="417"/>
      <c r="P716" s="417"/>
      <c r="Q716" s="417"/>
      <c r="R716" s="417"/>
      <c r="S716" s="417"/>
      <c r="T716" s="417"/>
      <c r="U716" s="417"/>
      <c r="V716" s="417"/>
      <c r="W716" s="417"/>
      <c r="X716" s="417"/>
      <c r="Y716" s="417"/>
      <c r="Z716" s="417"/>
    </row>
    <row r="717" spans="1:26" ht="15.75">
      <c r="A717" s="417"/>
      <c r="B717" s="417"/>
      <c r="C717" s="417"/>
      <c r="D717" s="417"/>
      <c r="E717" s="417"/>
      <c r="F717" s="417"/>
      <c r="G717" s="417"/>
      <c r="H717" s="417"/>
      <c r="I717" s="417"/>
      <c r="J717" s="417"/>
      <c r="K717" s="417"/>
      <c r="L717" s="417"/>
      <c r="M717" s="417"/>
      <c r="N717" s="417"/>
      <c r="O717" s="417"/>
      <c r="P717" s="417"/>
      <c r="Q717" s="417"/>
      <c r="R717" s="417"/>
      <c r="S717" s="417"/>
      <c r="T717" s="417"/>
      <c r="U717" s="417"/>
      <c r="V717" s="417"/>
      <c r="W717" s="417"/>
      <c r="X717" s="417"/>
      <c r="Y717" s="417"/>
      <c r="Z717" s="417"/>
    </row>
    <row r="718" spans="1:26" ht="15.75">
      <c r="A718" s="417"/>
      <c r="B718" s="417"/>
      <c r="C718" s="417"/>
      <c r="D718" s="417"/>
      <c r="E718" s="417"/>
      <c r="F718" s="417"/>
      <c r="G718" s="417"/>
      <c r="H718" s="417"/>
      <c r="I718" s="417"/>
      <c r="J718" s="417"/>
      <c r="K718" s="417"/>
      <c r="L718" s="417"/>
      <c r="M718" s="417"/>
      <c r="N718" s="417"/>
      <c r="O718" s="417"/>
      <c r="P718" s="417"/>
      <c r="Q718" s="417"/>
      <c r="R718" s="417"/>
      <c r="S718" s="417"/>
      <c r="T718" s="417"/>
      <c r="U718" s="417"/>
      <c r="V718" s="417"/>
      <c r="W718" s="417"/>
      <c r="X718" s="417"/>
      <c r="Y718" s="417"/>
      <c r="Z718" s="417"/>
    </row>
    <row r="719" spans="1:26" ht="15.75">
      <c r="A719" s="417"/>
      <c r="B719" s="417"/>
      <c r="C719" s="417"/>
      <c r="D719" s="417"/>
      <c r="E719" s="417"/>
      <c r="F719" s="417"/>
      <c r="G719" s="417"/>
      <c r="H719" s="417"/>
      <c r="I719" s="417"/>
      <c r="J719" s="417"/>
      <c r="K719" s="417"/>
      <c r="L719" s="417"/>
      <c r="M719" s="417"/>
      <c r="N719" s="417"/>
      <c r="O719" s="417"/>
      <c r="P719" s="417"/>
      <c r="Q719" s="417"/>
      <c r="R719" s="417"/>
      <c r="S719" s="417"/>
      <c r="T719" s="417"/>
      <c r="U719" s="417"/>
      <c r="V719" s="417"/>
      <c r="W719" s="417"/>
      <c r="X719" s="417"/>
      <c r="Y719" s="417"/>
      <c r="Z719" s="417"/>
    </row>
    <row r="720" spans="1:26" ht="15.75">
      <c r="A720" s="417"/>
      <c r="B720" s="417"/>
      <c r="C720" s="417"/>
      <c r="D720" s="417"/>
      <c r="E720" s="417"/>
      <c r="F720" s="417"/>
      <c r="G720" s="417"/>
      <c r="H720" s="417"/>
      <c r="I720" s="417"/>
      <c r="J720" s="417"/>
      <c r="K720" s="417"/>
      <c r="L720" s="417"/>
      <c r="M720" s="417"/>
      <c r="N720" s="417"/>
      <c r="O720" s="417"/>
      <c r="P720" s="417"/>
      <c r="Q720" s="417"/>
      <c r="R720" s="417"/>
      <c r="S720" s="417"/>
      <c r="T720" s="417"/>
      <c r="U720" s="417"/>
      <c r="V720" s="417"/>
      <c r="W720" s="417"/>
      <c r="X720" s="417"/>
      <c r="Y720" s="417"/>
      <c r="Z720" s="417"/>
    </row>
    <row r="721" spans="1:26" ht="15.75">
      <c r="A721" s="417"/>
      <c r="B721" s="417"/>
      <c r="C721" s="417"/>
      <c r="D721" s="417"/>
      <c r="E721" s="417"/>
      <c r="F721" s="417"/>
      <c r="G721" s="417"/>
      <c r="H721" s="417"/>
      <c r="I721" s="417"/>
      <c r="J721" s="417"/>
      <c r="K721" s="417"/>
      <c r="L721" s="417"/>
      <c r="M721" s="417"/>
      <c r="N721" s="417"/>
      <c r="O721" s="417"/>
      <c r="P721" s="417"/>
      <c r="Q721" s="417"/>
      <c r="R721" s="417"/>
      <c r="S721" s="417"/>
      <c r="T721" s="417"/>
      <c r="U721" s="417"/>
      <c r="V721" s="417"/>
      <c r="W721" s="417"/>
      <c r="X721" s="417"/>
      <c r="Y721" s="417"/>
      <c r="Z721" s="417"/>
    </row>
    <row r="722" spans="1:26" ht="15.75">
      <c r="A722" s="417"/>
      <c r="B722" s="417"/>
      <c r="C722" s="417"/>
      <c r="D722" s="417"/>
      <c r="E722" s="417"/>
      <c r="F722" s="417"/>
      <c r="G722" s="417"/>
      <c r="H722" s="417"/>
      <c r="I722" s="417"/>
      <c r="J722" s="417"/>
      <c r="K722" s="417"/>
      <c r="L722" s="417"/>
      <c r="M722" s="417"/>
      <c r="N722" s="417"/>
      <c r="O722" s="417"/>
      <c r="P722" s="417"/>
      <c r="Q722" s="417"/>
      <c r="R722" s="417"/>
      <c r="S722" s="417"/>
      <c r="T722" s="417"/>
      <c r="U722" s="417"/>
      <c r="V722" s="417"/>
      <c r="W722" s="417"/>
      <c r="X722" s="417"/>
      <c r="Y722" s="417"/>
      <c r="Z722" s="417"/>
    </row>
    <row r="723" spans="1:26" ht="15.75">
      <c r="A723" s="417"/>
      <c r="B723" s="417"/>
      <c r="C723" s="417"/>
      <c r="D723" s="417"/>
      <c r="E723" s="417"/>
      <c r="F723" s="417"/>
      <c r="G723" s="417"/>
      <c r="H723" s="417"/>
      <c r="I723" s="417"/>
      <c r="J723" s="417"/>
      <c r="K723" s="417"/>
      <c r="L723" s="417"/>
      <c r="M723" s="417"/>
      <c r="N723" s="417"/>
      <c r="O723" s="417"/>
      <c r="P723" s="417"/>
      <c r="Q723" s="417"/>
      <c r="R723" s="417"/>
      <c r="S723" s="417"/>
      <c r="T723" s="417"/>
      <c r="U723" s="417"/>
      <c r="V723" s="417"/>
      <c r="W723" s="417"/>
      <c r="X723" s="417"/>
      <c r="Y723" s="417"/>
      <c r="Z723" s="417"/>
    </row>
    <row r="724" spans="1:26" ht="15.75">
      <c r="A724" s="417"/>
      <c r="B724" s="417"/>
      <c r="C724" s="417"/>
      <c r="D724" s="417"/>
      <c r="E724" s="417"/>
      <c r="F724" s="417"/>
      <c r="G724" s="417"/>
      <c r="H724" s="417"/>
      <c r="I724" s="417"/>
      <c r="J724" s="417"/>
      <c r="K724" s="417"/>
      <c r="L724" s="417"/>
      <c r="M724" s="417"/>
      <c r="N724" s="417"/>
      <c r="O724" s="417"/>
      <c r="P724" s="417"/>
      <c r="Q724" s="417"/>
      <c r="R724" s="417"/>
      <c r="S724" s="417"/>
      <c r="T724" s="417"/>
      <c r="U724" s="417"/>
      <c r="V724" s="417"/>
      <c r="W724" s="417"/>
      <c r="X724" s="417"/>
      <c r="Y724" s="417"/>
      <c r="Z724" s="417"/>
    </row>
    <row r="725" spans="1:26" ht="15.75">
      <c r="A725" s="417"/>
      <c r="B725" s="417"/>
      <c r="C725" s="417"/>
      <c r="D725" s="417"/>
      <c r="E725" s="417"/>
      <c r="F725" s="417"/>
      <c r="G725" s="417"/>
      <c r="H725" s="417"/>
      <c r="I725" s="417"/>
      <c r="J725" s="417"/>
      <c r="K725" s="417"/>
      <c r="L725" s="417"/>
      <c r="M725" s="417"/>
      <c r="N725" s="417"/>
      <c r="O725" s="417"/>
      <c r="P725" s="417"/>
      <c r="Q725" s="417"/>
      <c r="R725" s="417"/>
      <c r="S725" s="417"/>
      <c r="T725" s="417"/>
      <c r="U725" s="417"/>
      <c r="V725" s="417"/>
      <c r="W725" s="417"/>
      <c r="X725" s="417"/>
      <c r="Y725" s="417"/>
      <c r="Z725" s="417"/>
    </row>
    <row r="726" spans="1:26" ht="15.75">
      <c r="A726" s="417"/>
      <c r="B726" s="417"/>
      <c r="C726" s="417"/>
      <c r="D726" s="417"/>
      <c r="E726" s="417"/>
      <c r="F726" s="417"/>
      <c r="G726" s="417"/>
      <c r="H726" s="417"/>
      <c r="I726" s="417"/>
      <c r="J726" s="417"/>
      <c r="K726" s="417"/>
      <c r="L726" s="417"/>
      <c r="M726" s="417"/>
      <c r="N726" s="417"/>
      <c r="O726" s="417"/>
      <c r="P726" s="417"/>
      <c r="Q726" s="417"/>
      <c r="R726" s="417"/>
      <c r="S726" s="417"/>
      <c r="T726" s="417"/>
      <c r="U726" s="417"/>
      <c r="V726" s="417"/>
      <c r="W726" s="417"/>
      <c r="X726" s="417"/>
      <c r="Y726" s="417"/>
      <c r="Z726" s="417"/>
    </row>
    <row r="727" spans="1:26" ht="15.75">
      <c r="A727" s="417"/>
      <c r="B727" s="417"/>
      <c r="C727" s="417"/>
      <c r="D727" s="417"/>
      <c r="E727" s="417"/>
      <c r="F727" s="417"/>
      <c r="G727" s="417"/>
      <c r="H727" s="417"/>
      <c r="I727" s="417"/>
      <c r="J727" s="417"/>
      <c r="K727" s="417"/>
      <c r="L727" s="417"/>
      <c r="M727" s="417"/>
      <c r="N727" s="417"/>
      <c r="O727" s="417"/>
      <c r="P727" s="417"/>
      <c r="Q727" s="417"/>
      <c r="R727" s="417"/>
      <c r="S727" s="417"/>
      <c r="T727" s="417"/>
      <c r="U727" s="417"/>
      <c r="V727" s="417"/>
      <c r="W727" s="417"/>
      <c r="X727" s="417"/>
      <c r="Y727" s="417"/>
      <c r="Z727" s="417"/>
    </row>
    <row r="728" spans="1:26" ht="15.75">
      <c r="A728" s="417"/>
      <c r="B728" s="417"/>
      <c r="C728" s="417"/>
      <c r="D728" s="417"/>
      <c r="E728" s="417"/>
      <c r="F728" s="417"/>
      <c r="G728" s="417"/>
      <c r="H728" s="417"/>
      <c r="I728" s="417"/>
      <c r="J728" s="417"/>
      <c r="K728" s="417"/>
      <c r="L728" s="417"/>
      <c r="M728" s="417"/>
      <c r="N728" s="417"/>
      <c r="O728" s="417"/>
      <c r="P728" s="417"/>
      <c r="Q728" s="417"/>
      <c r="R728" s="417"/>
      <c r="S728" s="417"/>
      <c r="T728" s="417"/>
      <c r="U728" s="417"/>
      <c r="V728" s="417"/>
      <c r="W728" s="417"/>
      <c r="X728" s="417"/>
      <c r="Y728" s="417"/>
      <c r="Z728" s="417"/>
    </row>
    <row r="729" spans="1:26" ht="15.75">
      <c r="A729" s="417"/>
      <c r="B729" s="417"/>
      <c r="C729" s="417"/>
      <c r="D729" s="417"/>
      <c r="E729" s="417"/>
      <c r="F729" s="417"/>
      <c r="G729" s="417"/>
      <c r="H729" s="417"/>
      <c r="I729" s="417"/>
      <c r="J729" s="417"/>
      <c r="K729" s="417"/>
      <c r="L729" s="417"/>
      <c r="M729" s="417"/>
      <c r="N729" s="417"/>
      <c r="O729" s="417"/>
      <c r="P729" s="417"/>
      <c r="Q729" s="417"/>
      <c r="R729" s="417"/>
      <c r="S729" s="417"/>
      <c r="T729" s="417"/>
      <c r="U729" s="417"/>
      <c r="V729" s="417"/>
      <c r="W729" s="417"/>
      <c r="X729" s="417"/>
      <c r="Y729" s="417"/>
      <c r="Z729" s="417"/>
    </row>
    <row r="730" spans="1:26" ht="15.75">
      <c r="A730" s="417"/>
      <c r="B730" s="417"/>
      <c r="C730" s="417"/>
      <c r="D730" s="417"/>
      <c r="E730" s="417"/>
      <c r="F730" s="417"/>
      <c r="G730" s="417"/>
      <c r="H730" s="417"/>
      <c r="I730" s="417"/>
      <c r="J730" s="417"/>
      <c r="K730" s="417"/>
      <c r="L730" s="417"/>
      <c r="M730" s="417"/>
      <c r="N730" s="417"/>
      <c r="O730" s="417"/>
      <c r="P730" s="417"/>
      <c r="Q730" s="417"/>
      <c r="R730" s="417"/>
      <c r="S730" s="417"/>
      <c r="T730" s="417"/>
      <c r="U730" s="417"/>
      <c r="V730" s="417"/>
      <c r="W730" s="417"/>
      <c r="X730" s="417"/>
      <c r="Y730" s="417"/>
      <c r="Z730" s="417"/>
    </row>
    <row r="731" spans="1:26" ht="15.75">
      <c r="A731" s="417"/>
      <c r="B731" s="417"/>
      <c r="C731" s="417"/>
      <c r="D731" s="417"/>
      <c r="E731" s="417"/>
      <c r="F731" s="417"/>
      <c r="G731" s="417"/>
      <c r="H731" s="417"/>
      <c r="I731" s="417"/>
      <c r="J731" s="417"/>
      <c r="K731" s="417"/>
      <c r="L731" s="417"/>
      <c r="M731" s="417"/>
      <c r="N731" s="417"/>
      <c r="O731" s="417"/>
      <c r="P731" s="417"/>
      <c r="Q731" s="417"/>
      <c r="R731" s="417"/>
      <c r="S731" s="417"/>
      <c r="T731" s="417"/>
      <c r="U731" s="417"/>
      <c r="V731" s="417"/>
      <c r="W731" s="417"/>
      <c r="X731" s="417"/>
      <c r="Y731" s="417"/>
      <c r="Z731" s="417"/>
    </row>
    <row r="732" spans="1:26" ht="15.75">
      <c r="A732" s="417"/>
      <c r="B732" s="417"/>
      <c r="C732" s="417"/>
      <c r="D732" s="417"/>
      <c r="E732" s="417"/>
      <c r="F732" s="417"/>
      <c r="G732" s="417"/>
      <c r="H732" s="417"/>
      <c r="I732" s="417"/>
      <c r="J732" s="417"/>
      <c r="K732" s="417"/>
      <c r="L732" s="417"/>
      <c r="M732" s="417"/>
      <c r="N732" s="417"/>
      <c r="O732" s="417"/>
      <c r="P732" s="417"/>
      <c r="Q732" s="417"/>
      <c r="R732" s="417"/>
      <c r="S732" s="417"/>
      <c r="T732" s="417"/>
      <c r="U732" s="417"/>
      <c r="V732" s="417"/>
      <c r="W732" s="417"/>
      <c r="X732" s="417"/>
      <c r="Y732" s="417"/>
      <c r="Z732" s="417"/>
    </row>
    <row r="733" spans="1:26" ht="15.75">
      <c r="A733" s="417"/>
      <c r="B733" s="417"/>
      <c r="C733" s="417"/>
      <c r="D733" s="417"/>
      <c r="E733" s="417"/>
      <c r="F733" s="417"/>
      <c r="G733" s="417"/>
      <c r="H733" s="417"/>
      <c r="I733" s="417"/>
      <c r="J733" s="417"/>
      <c r="K733" s="417"/>
      <c r="L733" s="417"/>
      <c r="M733" s="417"/>
      <c r="N733" s="417"/>
      <c r="O733" s="417"/>
      <c r="P733" s="417"/>
      <c r="Q733" s="417"/>
      <c r="R733" s="417"/>
      <c r="S733" s="417"/>
      <c r="T733" s="417"/>
      <c r="U733" s="417"/>
      <c r="V733" s="417"/>
      <c r="W733" s="417"/>
      <c r="X733" s="417"/>
      <c r="Y733" s="417"/>
      <c r="Z733" s="417"/>
    </row>
    <row r="734" spans="1:26" ht="15.75">
      <c r="A734" s="417"/>
      <c r="B734" s="417"/>
      <c r="C734" s="417"/>
      <c r="D734" s="417"/>
      <c r="E734" s="417"/>
      <c r="F734" s="417"/>
      <c r="G734" s="417"/>
      <c r="H734" s="417"/>
      <c r="I734" s="417"/>
      <c r="J734" s="417"/>
      <c r="K734" s="417"/>
      <c r="L734" s="417"/>
      <c r="M734" s="417"/>
      <c r="N734" s="417"/>
      <c r="O734" s="417"/>
      <c r="P734" s="417"/>
      <c r="Q734" s="417"/>
      <c r="R734" s="417"/>
      <c r="S734" s="417"/>
      <c r="T734" s="417"/>
      <c r="U734" s="417"/>
      <c r="V734" s="417"/>
      <c r="W734" s="417"/>
      <c r="X734" s="417"/>
      <c r="Y734" s="417"/>
      <c r="Z734" s="417"/>
    </row>
    <row r="735" spans="1:26" ht="15.75">
      <c r="A735" s="417"/>
      <c r="B735" s="417"/>
      <c r="C735" s="417"/>
      <c r="D735" s="417"/>
      <c r="E735" s="417"/>
      <c r="F735" s="417"/>
      <c r="G735" s="417"/>
      <c r="H735" s="417"/>
      <c r="I735" s="417"/>
      <c r="J735" s="417"/>
      <c r="K735" s="417"/>
      <c r="L735" s="417"/>
      <c r="M735" s="417"/>
      <c r="N735" s="417"/>
      <c r="O735" s="417"/>
      <c r="P735" s="417"/>
      <c r="Q735" s="417"/>
      <c r="R735" s="417"/>
      <c r="S735" s="417"/>
      <c r="T735" s="417"/>
      <c r="U735" s="417"/>
      <c r="V735" s="417"/>
      <c r="W735" s="417"/>
      <c r="X735" s="417"/>
      <c r="Y735" s="417"/>
      <c r="Z735" s="417"/>
    </row>
    <row r="736" spans="1:26" ht="15.75">
      <c r="A736" s="417"/>
      <c r="B736" s="417"/>
      <c r="C736" s="417"/>
      <c r="D736" s="417"/>
      <c r="E736" s="417"/>
      <c r="F736" s="417"/>
      <c r="G736" s="417"/>
      <c r="H736" s="417"/>
      <c r="I736" s="417"/>
      <c r="J736" s="417"/>
      <c r="K736" s="417"/>
      <c r="L736" s="417"/>
      <c r="M736" s="417"/>
      <c r="N736" s="417"/>
      <c r="O736" s="417"/>
      <c r="P736" s="417"/>
      <c r="Q736" s="417"/>
      <c r="R736" s="417"/>
      <c r="S736" s="417"/>
      <c r="T736" s="417"/>
      <c r="U736" s="417"/>
      <c r="V736" s="417"/>
      <c r="W736" s="417"/>
      <c r="X736" s="417"/>
      <c r="Y736" s="417"/>
      <c r="Z736" s="417"/>
    </row>
    <row r="737" spans="1:26" ht="15.75">
      <c r="A737" s="417"/>
      <c r="B737" s="417"/>
      <c r="C737" s="417"/>
      <c r="D737" s="417"/>
      <c r="E737" s="417"/>
      <c r="F737" s="417"/>
      <c r="G737" s="417"/>
      <c r="H737" s="417"/>
      <c r="I737" s="417"/>
      <c r="J737" s="417"/>
      <c r="K737" s="417"/>
      <c r="L737" s="417"/>
      <c r="M737" s="417"/>
      <c r="N737" s="417"/>
      <c r="O737" s="417"/>
      <c r="P737" s="417"/>
      <c r="Q737" s="417"/>
      <c r="R737" s="417"/>
      <c r="S737" s="417"/>
      <c r="T737" s="417"/>
      <c r="U737" s="417"/>
      <c r="V737" s="417"/>
      <c r="W737" s="417"/>
      <c r="X737" s="417"/>
      <c r="Y737" s="417"/>
      <c r="Z737" s="417"/>
    </row>
    <row r="738" spans="1:26" ht="15.75">
      <c r="A738" s="417"/>
      <c r="B738" s="417"/>
      <c r="C738" s="417"/>
      <c r="D738" s="417"/>
      <c r="E738" s="417"/>
      <c r="F738" s="417"/>
      <c r="G738" s="417"/>
      <c r="H738" s="417"/>
      <c r="I738" s="417"/>
      <c r="J738" s="417"/>
      <c r="K738" s="417"/>
      <c r="L738" s="417"/>
      <c r="M738" s="417"/>
      <c r="N738" s="417"/>
      <c r="O738" s="417"/>
      <c r="P738" s="417"/>
      <c r="Q738" s="417"/>
      <c r="R738" s="417"/>
      <c r="S738" s="417"/>
      <c r="T738" s="417"/>
      <c r="U738" s="417"/>
      <c r="V738" s="417"/>
      <c r="W738" s="417"/>
      <c r="X738" s="417"/>
      <c r="Y738" s="417"/>
      <c r="Z738" s="417"/>
    </row>
    <row r="739" spans="1:26" ht="15.75">
      <c r="A739" s="417"/>
      <c r="B739" s="417"/>
      <c r="C739" s="417"/>
      <c r="D739" s="417"/>
      <c r="E739" s="417"/>
      <c r="F739" s="417"/>
      <c r="G739" s="417"/>
      <c r="H739" s="417"/>
      <c r="I739" s="417"/>
      <c r="J739" s="417"/>
      <c r="K739" s="417"/>
      <c r="L739" s="417"/>
      <c r="M739" s="417"/>
      <c r="N739" s="417"/>
      <c r="O739" s="417"/>
      <c r="P739" s="417"/>
      <c r="Q739" s="417"/>
      <c r="R739" s="417"/>
      <c r="S739" s="417"/>
      <c r="T739" s="417"/>
      <c r="U739" s="417"/>
      <c r="V739" s="417"/>
      <c r="W739" s="417"/>
      <c r="X739" s="417"/>
      <c r="Y739" s="417"/>
      <c r="Z739" s="417"/>
    </row>
    <row r="740" spans="1:26" ht="15.75">
      <c r="A740" s="417"/>
      <c r="B740" s="417"/>
      <c r="C740" s="417"/>
      <c r="D740" s="417"/>
      <c r="E740" s="417"/>
      <c r="F740" s="417"/>
      <c r="G740" s="417"/>
      <c r="H740" s="417"/>
      <c r="I740" s="417"/>
      <c r="J740" s="417"/>
      <c r="K740" s="417"/>
      <c r="L740" s="417"/>
      <c r="M740" s="417"/>
      <c r="N740" s="417"/>
      <c r="O740" s="417"/>
      <c r="P740" s="417"/>
      <c r="Q740" s="417"/>
      <c r="R740" s="417"/>
      <c r="S740" s="417"/>
      <c r="T740" s="417"/>
      <c r="U740" s="417"/>
      <c r="V740" s="417"/>
      <c r="W740" s="417"/>
      <c r="X740" s="417"/>
      <c r="Y740" s="417"/>
      <c r="Z740" s="417"/>
    </row>
    <row r="741" spans="1:26" ht="15.75">
      <c r="A741" s="417"/>
      <c r="B741" s="417"/>
      <c r="C741" s="417"/>
      <c r="D741" s="417"/>
      <c r="E741" s="417"/>
      <c r="F741" s="417"/>
      <c r="G741" s="417"/>
      <c r="H741" s="417"/>
      <c r="I741" s="417"/>
      <c r="J741" s="417"/>
      <c r="K741" s="417"/>
      <c r="L741" s="417"/>
      <c r="M741" s="417"/>
      <c r="N741" s="417"/>
      <c r="O741" s="417"/>
      <c r="P741" s="417"/>
      <c r="Q741" s="417"/>
      <c r="R741" s="417"/>
      <c r="S741" s="417"/>
      <c r="T741" s="417"/>
      <c r="U741" s="417"/>
      <c r="V741" s="417"/>
      <c r="W741" s="417"/>
      <c r="X741" s="417"/>
      <c r="Y741" s="417"/>
      <c r="Z741" s="417"/>
    </row>
    <row r="742" spans="1:26" ht="15.75">
      <c r="A742" s="417"/>
      <c r="B742" s="417"/>
      <c r="C742" s="417"/>
      <c r="D742" s="417"/>
      <c r="E742" s="417"/>
      <c r="F742" s="417"/>
      <c r="G742" s="417"/>
      <c r="H742" s="417"/>
      <c r="I742" s="417"/>
      <c r="J742" s="417"/>
      <c r="K742" s="417"/>
      <c r="L742" s="417"/>
      <c r="M742" s="417"/>
      <c r="N742" s="417"/>
      <c r="O742" s="417"/>
      <c r="P742" s="417"/>
      <c r="Q742" s="417"/>
      <c r="R742" s="417"/>
      <c r="S742" s="417"/>
      <c r="T742" s="417"/>
      <c r="U742" s="417"/>
      <c r="V742" s="417"/>
      <c r="W742" s="417"/>
      <c r="X742" s="417"/>
      <c r="Y742" s="417"/>
      <c r="Z742" s="417"/>
    </row>
    <row r="743" spans="1:26" ht="15.75">
      <c r="A743" s="417"/>
      <c r="B743" s="417"/>
      <c r="C743" s="417"/>
      <c r="D743" s="417"/>
      <c r="E743" s="417"/>
      <c r="F743" s="417"/>
      <c r="G743" s="417"/>
      <c r="H743" s="417"/>
      <c r="I743" s="417"/>
      <c r="J743" s="417"/>
      <c r="K743" s="417"/>
      <c r="L743" s="417"/>
      <c r="M743" s="417"/>
      <c r="N743" s="417"/>
      <c r="O743" s="417"/>
      <c r="P743" s="417"/>
      <c r="Q743" s="417"/>
      <c r="R743" s="417"/>
      <c r="S743" s="417"/>
      <c r="T743" s="417"/>
      <c r="U743" s="417"/>
      <c r="V743" s="417"/>
      <c r="W743" s="417"/>
      <c r="X743" s="417"/>
      <c r="Y743" s="417"/>
      <c r="Z743" s="417"/>
    </row>
    <row r="744" spans="1:26" ht="15.75">
      <c r="A744" s="417"/>
      <c r="B744" s="417"/>
      <c r="C744" s="417"/>
      <c r="D744" s="417"/>
      <c r="E744" s="417"/>
      <c r="F744" s="417"/>
      <c r="G744" s="417"/>
      <c r="H744" s="417"/>
      <c r="I744" s="417"/>
      <c r="J744" s="417"/>
      <c r="K744" s="417"/>
      <c r="L744" s="417"/>
      <c r="M744" s="417"/>
      <c r="N744" s="417"/>
      <c r="O744" s="417"/>
      <c r="P744" s="417"/>
      <c r="Q744" s="417"/>
      <c r="R744" s="417"/>
      <c r="S744" s="417"/>
      <c r="T744" s="417"/>
      <c r="U744" s="417"/>
      <c r="V744" s="417"/>
      <c r="W744" s="417"/>
      <c r="X744" s="417"/>
      <c r="Y744" s="417"/>
      <c r="Z744" s="417"/>
    </row>
    <row r="745" spans="1:26" ht="15.75">
      <c r="A745" s="417"/>
      <c r="B745" s="417"/>
      <c r="C745" s="417"/>
      <c r="D745" s="417"/>
      <c r="E745" s="417"/>
      <c r="F745" s="417"/>
      <c r="G745" s="417"/>
      <c r="H745" s="417"/>
      <c r="I745" s="417"/>
      <c r="J745" s="417"/>
      <c r="K745" s="417"/>
      <c r="L745" s="417"/>
      <c r="M745" s="417"/>
      <c r="N745" s="417"/>
      <c r="O745" s="417"/>
      <c r="P745" s="417"/>
      <c r="Q745" s="417"/>
      <c r="R745" s="417"/>
      <c r="S745" s="417"/>
      <c r="T745" s="417"/>
      <c r="U745" s="417"/>
      <c r="V745" s="417"/>
      <c r="W745" s="417"/>
      <c r="X745" s="417"/>
      <c r="Y745" s="417"/>
      <c r="Z745" s="417"/>
    </row>
    <row r="746" spans="1:26" ht="15.75">
      <c r="A746" s="417"/>
      <c r="B746" s="417"/>
      <c r="C746" s="417"/>
      <c r="D746" s="417"/>
      <c r="E746" s="417"/>
      <c r="F746" s="417"/>
      <c r="G746" s="417"/>
      <c r="H746" s="417"/>
      <c r="I746" s="417"/>
      <c r="J746" s="417"/>
      <c r="K746" s="417"/>
      <c r="L746" s="417"/>
      <c r="M746" s="417"/>
      <c r="N746" s="417"/>
      <c r="O746" s="417"/>
      <c r="P746" s="417"/>
      <c r="Q746" s="417"/>
      <c r="R746" s="417"/>
      <c r="S746" s="417"/>
      <c r="T746" s="417"/>
      <c r="U746" s="417"/>
      <c r="V746" s="417"/>
      <c r="W746" s="417"/>
      <c r="X746" s="417"/>
      <c r="Y746" s="417"/>
      <c r="Z746" s="417"/>
    </row>
    <row r="747" spans="1:26" ht="15.75">
      <c r="A747" s="417"/>
      <c r="B747" s="417"/>
      <c r="C747" s="417"/>
      <c r="D747" s="417"/>
      <c r="E747" s="417"/>
      <c r="F747" s="417"/>
      <c r="G747" s="417"/>
      <c r="H747" s="417"/>
      <c r="I747" s="417"/>
      <c r="J747" s="417"/>
      <c r="K747" s="417"/>
      <c r="L747" s="417"/>
      <c r="M747" s="417"/>
      <c r="N747" s="417"/>
      <c r="O747" s="417"/>
      <c r="P747" s="417"/>
      <c r="Q747" s="417"/>
      <c r="R747" s="417"/>
      <c r="S747" s="417"/>
      <c r="T747" s="417"/>
      <c r="U747" s="417"/>
      <c r="V747" s="417"/>
      <c r="W747" s="417"/>
      <c r="X747" s="417"/>
      <c r="Y747" s="417"/>
      <c r="Z747" s="417"/>
    </row>
    <row r="748" spans="1:26" ht="15.75">
      <c r="A748" s="417"/>
      <c r="B748" s="417"/>
      <c r="C748" s="417"/>
      <c r="D748" s="417"/>
      <c r="E748" s="417"/>
      <c r="F748" s="417"/>
      <c r="G748" s="417"/>
      <c r="H748" s="417"/>
      <c r="I748" s="417"/>
      <c r="J748" s="417"/>
      <c r="K748" s="417"/>
      <c r="L748" s="417"/>
      <c r="M748" s="417"/>
      <c r="N748" s="417"/>
      <c r="O748" s="417"/>
      <c r="P748" s="417"/>
      <c r="Q748" s="417"/>
      <c r="R748" s="417"/>
      <c r="S748" s="417"/>
      <c r="T748" s="417"/>
      <c r="U748" s="417"/>
      <c r="V748" s="417"/>
      <c r="W748" s="417"/>
      <c r="X748" s="417"/>
      <c r="Y748" s="417"/>
      <c r="Z748" s="417"/>
    </row>
    <row r="749" spans="1:26" ht="15.75">
      <c r="A749" s="417"/>
      <c r="B749" s="417"/>
      <c r="C749" s="417"/>
      <c r="D749" s="417"/>
      <c r="E749" s="417"/>
      <c r="F749" s="417"/>
      <c r="G749" s="417"/>
      <c r="H749" s="417"/>
      <c r="I749" s="417"/>
      <c r="J749" s="417"/>
      <c r="K749" s="417"/>
      <c r="L749" s="417"/>
      <c r="M749" s="417"/>
      <c r="N749" s="417"/>
      <c r="O749" s="417"/>
      <c r="P749" s="417"/>
      <c r="Q749" s="417"/>
      <c r="R749" s="417"/>
      <c r="S749" s="417"/>
      <c r="T749" s="417"/>
      <c r="U749" s="417"/>
      <c r="V749" s="417"/>
      <c r="W749" s="417"/>
      <c r="X749" s="417"/>
      <c r="Y749" s="417"/>
      <c r="Z749" s="417"/>
    </row>
    <row r="750" spans="1:26" ht="15.75">
      <c r="A750" s="417"/>
      <c r="B750" s="417"/>
      <c r="C750" s="417"/>
      <c r="D750" s="417"/>
      <c r="E750" s="417"/>
      <c r="F750" s="417"/>
      <c r="G750" s="417"/>
      <c r="H750" s="417"/>
      <c r="I750" s="417"/>
      <c r="J750" s="417"/>
      <c r="K750" s="417"/>
      <c r="L750" s="417"/>
      <c r="M750" s="417"/>
      <c r="N750" s="417"/>
      <c r="O750" s="417"/>
      <c r="P750" s="417"/>
      <c r="Q750" s="417"/>
      <c r="R750" s="417"/>
      <c r="S750" s="417"/>
      <c r="T750" s="417"/>
      <c r="U750" s="417"/>
      <c r="V750" s="417"/>
      <c r="W750" s="417"/>
      <c r="X750" s="417"/>
      <c r="Y750" s="417"/>
      <c r="Z750" s="417"/>
    </row>
    <row r="751" spans="1:26" ht="15.75">
      <c r="A751" s="417"/>
      <c r="B751" s="417"/>
      <c r="C751" s="417"/>
      <c r="D751" s="417"/>
      <c r="E751" s="417"/>
      <c r="F751" s="417"/>
      <c r="G751" s="417"/>
      <c r="H751" s="417"/>
      <c r="I751" s="417"/>
      <c r="J751" s="417"/>
      <c r="K751" s="417"/>
      <c r="L751" s="417"/>
      <c r="M751" s="417"/>
      <c r="N751" s="417"/>
      <c r="O751" s="417"/>
      <c r="P751" s="417"/>
      <c r="Q751" s="417"/>
      <c r="R751" s="417"/>
      <c r="S751" s="417"/>
      <c r="T751" s="417"/>
      <c r="U751" s="417"/>
      <c r="V751" s="417"/>
      <c r="W751" s="417"/>
      <c r="X751" s="417"/>
      <c r="Y751" s="417"/>
      <c r="Z751" s="417"/>
    </row>
    <row r="752" spans="1:26" ht="15.75">
      <c r="A752" s="417"/>
      <c r="B752" s="417"/>
      <c r="C752" s="417"/>
      <c r="D752" s="417"/>
      <c r="E752" s="417"/>
      <c r="F752" s="417"/>
      <c r="G752" s="417"/>
      <c r="H752" s="417"/>
      <c r="I752" s="417"/>
      <c r="J752" s="417"/>
      <c r="K752" s="417"/>
      <c r="L752" s="417"/>
      <c r="M752" s="417"/>
      <c r="N752" s="417"/>
      <c r="O752" s="417"/>
      <c r="P752" s="417"/>
      <c r="Q752" s="417"/>
      <c r="R752" s="417"/>
      <c r="S752" s="417"/>
      <c r="T752" s="417"/>
      <c r="U752" s="417"/>
      <c r="V752" s="417"/>
      <c r="W752" s="417"/>
      <c r="X752" s="417"/>
      <c r="Y752" s="417"/>
      <c r="Z752" s="417"/>
    </row>
    <row r="753" spans="1:26" ht="15.75">
      <c r="A753" s="417"/>
      <c r="B753" s="417"/>
      <c r="C753" s="417"/>
      <c r="D753" s="417"/>
      <c r="E753" s="417"/>
      <c r="F753" s="417"/>
      <c r="G753" s="417"/>
      <c r="H753" s="417"/>
      <c r="I753" s="417"/>
      <c r="J753" s="417"/>
      <c r="K753" s="417"/>
      <c r="L753" s="417"/>
      <c r="M753" s="417"/>
      <c r="N753" s="417"/>
      <c r="O753" s="417"/>
      <c r="P753" s="417"/>
      <c r="Q753" s="417"/>
      <c r="R753" s="417"/>
      <c r="S753" s="417"/>
      <c r="T753" s="417"/>
      <c r="U753" s="417"/>
      <c r="V753" s="417"/>
      <c r="W753" s="417"/>
      <c r="X753" s="417"/>
      <c r="Y753" s="417"/>
      <c r="Z753" s="417"/>
    </row>
    <row r="754" spans="1:26" ht="15.75">
      <c r="A754" s="417"/>
      <c r="B754" s="417"/>
      <c r="C754" s="417"/>
      <c r="D754" s="417"/>
      <c r="E754" s="417"/>
      <c r="F754" s="417"/>
      <c r="G754" s="417"/>
      <c r="H754" s="417"/>
      <c r="I754" s="417"/>
      <c r="J754" s="417"/>
      <c r="K754" s="417"/>
      <c r="L754" s="417"/>
      <c r="M754" s="417"/>
      <c r="N754" s="417"/>
      <c r="O754" s="417"/>
      <c r="P754" s="417"/>
      <c r="Q754" s="417"/>
      <c r="R754" s="417"/>
      <c r="S754" s="417"/>
      <c r="T754" s="417"/>
      <c r="U754" s="417"/>
      <c r="V754" s="417"/>
      <c r="W754" s="417"/>
      <c r="X754" s="417"/>
      <c r="Y754" s="417"/>
      <c r="Z754" s="417"/>
    </row>
    <row r="755" spans="1:26" ht="15.75">
      <c r="A755" s="417"/>
      <c r="B755" s="417"/>
      <c r="C755" s="417"/>
      <c r="D755" s="417"/>
      <c r="E755" s="417"/>
      <c r="F755" s="417"/>
      <c r="G755" s="417"/>
      <c r="H755" s="417"/>
      <c r="I755" s="417"/>
      <c r="J755" s="417"/>
      <c r="K755" s="417"/>
      <c r="L755" s="417"/>
      <c r="M755" s="417"/>
      <c r="N755" s="417"/>
      <c r="O755" s="417"/>
      <c r="P755" s="417"/>
      <c r="Q755" s="417"/>
      <c r="R755" s="417"/>
      <c r="S755" s="417"/>
      <c r="T755" s="417"/>
      <c r="U755" s="417"/>
      <c r="V755" s="417"/>
      <c r="W755" s="417"/>
      <c r="X755" s="417"/>
      <c r="Y755" s="417"/>
      <c r="Z755" s="417"/>
    </row>
    <row r="756" spans="1:26" ht="15.75">
      <c r="A756" s="417"/>
      <c r="B756" s="417"/>
      <c r="C756" s="417"/>
      <c r="D756" s="417"/>
      <c r="E756" s="417"/>
      <c r="F756" s="417"/>
      <c r="G756" s="417"/>
      <c r="H756" s="417"/>
      <c r="I756" s="417"/>
      <c r="J756" s="417"/>
      <c r="K756" s="417"/>
      <c r="L756" s="417"/>
      <c r="M756" s="417"/>
      <c r="N756" s="417"/>
      <c r="O756" s="417"/>
      <c r="P756" s="417"/>
      <c r="Q756" s="417"/>
      <c r="R756" s="417"/>
      <c r="S756" s="417"/>
      <c r="T756" s="417"/>
      <c r="U756" s="417"/>
      <c r="V756" s="417"/>
      <c r="W756" s="417"/>
      <c r="X756" s="417"/>
      <c r="Y756" s="417"/>
      <c r="Z756" s="417"/>
    </row>
    <row r="757" spans="1:26" ht="15.75">
      <c r="A757" s="417"/>
      <c r="B757" s="417"/>
      <c r="C757" s="417"/>
      <c r="D757" s="417"/>
      <c r="E757" s="417"/>
      <c r="F757" s="417"/>
      <c r="G757" s="417"/>
      <c r="H757" s="417"/>
      <c r="I757" s="417"/>
      <c r="J757" s="417"/>
      <c r="K757" s="417"/>
      <c r="L757" s="417"/>
      <c r="M757" s="417"/>
      <c r="N757" s="417"/>
      <c r="O757" s="417"/>
      <c r="P757" s="417"/>
      <c r="Q757" s="417"/>
      <c r="R757" s="417"/>
      <c r="S757" s="417"/>
      <c r="T757" s="417"/>
      <c r="U757" s="417"/>
      <c r="V757" s="417"/>
      <c r="W757" s="417"/>
      <c r="X757" s="417"/>
      <c r="Y757" s="417"/>
      <c r="Z757" s="417"/>
    </row>
    <row r="758" spans="1:26" ht="15.75">
      <c r="A758" s="417"/>
      <c r="B758" s="417"/>
      <c r="C758" s="417"/>
      <c r="D758" s="417"/>
      <c r="E758" s="417"/>
      <c r="F758" s="417"/>
      <c r="G758" s="417"/>
      <c r="H758" s="417"/>
      <c r="I758" s="417"/>
      <c r="J758" s="417"/>
      <c r="K758" s="417"/>
      <c r="L758" s="417"/>
      <c r="M758" s="417"/>
      <c r="N758" s="417"/>
      <c r="O758" s="417"/>
      <c r="P758" s="417"/>
      <c r="Q758" s="417"/>
      <c r="R758" s="417"/>
      <c r="S758" s="417"/>
      <c r="T758" s="417"/>
      <c r="U758" s="417"/>
      <c r="V758" s="417"/>
      <c r="W758" s="417"/>
      <c r="X758" s="417"/>
      <c r="Y758" s="417"/>
      <c r="Z758" s="417"/>
    </row>
    <row r="759" spans="1:26" ht="15.75">
      <c r="A759" s="417"/>
      <c r="B759" s="417"/>
      <c r="C759" s="417"/>
      <c r="D759" s="417"/>
      <c r="E759" s="417"/>
      <c r="F759" s="417"/>
      <c r="G759" s="417"/>
      <c r="H759" s="417"/>
      <c r="I759" s="417"/>
      <c r="J759" s="417"/>
      <c r="K759" s="417"/>
      <c r="L759" s="417"/>
      <c r="M759" s="417"/>
      <c r="N759" s="417"/>
      <c r="O759" s="417"/>
      <c r="P759" s="417"/>
      <c r="Q759" s="417"/>
      <c r="R759" s="417"/>
      <c r="S759" s="417"/>
      <c r="T759" s="417"/>
      <c r="U759" s="417"/>
      <c r="V759" s="417"/>
      <c r="W759" s="417"/>
      <c r="X759" s="417"/>
      <c r="Y759" s="417"/>
      <c r="Z759" s="417"/>
    </row>
    <row r="760" spans="1:26" ht="15.75">
      <c r="A760" s="417"/>
      <c r="B760" s="417"/>
      <c r="C760" s="417"/>
      <c r="D760" s="417"/>
      <c r="E760" s="417"/>
      <c r="F760" s="417"/>
      <c r="G760" s="417"/>
      <c r="H760" s="417"/>
      <c r="I760" s="417"/>
      <c r="J760" s="417"/>
      <c r="K760" s="417"/>
      <c r="L760" s="417"/>
      <c r="M760" s="417"/>
      <c r="N760" s="417"/>
      <c r="O760" s="417"/>
      <c r="P760" s="417"/>
      <c r="Q760" s="417"/>
      <c r="R760" s="417"/>
      <c r="S760" s="417"/>
      <c r="T760" s="417"/>
      <c r="U760" s="417"/>
      <c r="V760" s="417"/>
      <c r="W760" s="417"/>
      <c r="X760" s="417"/>
      <c r="Y760" s="417"/>
      <c r="Z760" s="417"/>
    </row>
    <row r="761" spans="1:26" ht="15.75">
      <c r="A761" s="417"/>
      <c r="B761" s="417"/>
      <c r="C761" s="417"/>
      <c r="D761" s="417"/>
      <c r="E761" s="417"/>
      <c r="F761" s="417"/>
      <c r="G761" s="417"/>
      <c r="H761" s="417"/>
      <c r="I761" s="417"/>
      <c r="J761" s="417"/>
      <c r="K761" s="417"/>
      <c r="L761" s="417"/>
      <c r="M761" s="417"/>
      <c r="N761" s="417"/>
      <c r="O761" s="417"/>
      <c r="P761" s="417"/>
      <c r="Q761" s="417"/>
      <c r="R761" s="417"/>
      <c r="S761" s="417"/>
      <c r="T761" s="417"/>
      <c r="U761" s="417"/>
      <c r="V761" s="417"/>
      <c r="W761" s="417"/>
      <c r="X761" s="417"/>
      <c r="Y761" s="417"/>
      <c r="Z761" s="417"/>
    </row>
    <row r="762" spans="1:26" ht="15.75">
      <c r="A762" s="417"/>
      <c r="B762" s="417"/>
      <c r="C762" s="417"/>
      <c r="D762" s="417"/>
      <c r="E762" s="417"/>
      <c r="F762" s="417"/>
      <c r="G762" s="417"/>
      <c r="H762" s="417"/>
      <c r="I762" s="417"/>
      <c r="J762" s="417"/>
      <c r="K762" s="417"/>
      <c r="L762" s="417"/>
      <c r="M762" s="417"/>
      <c r="N762" s="417"/>
      <c r="O762" s="417"/>
      <c r="P762" s="417"/>
      <c r="Q762" s="417"/>
      <c r="R762" s="417"/>
      <c r="S762" s="417"/>
      <c r="T762" s="417"/>
      <c r="U762" s="417"/>
      <c r="V762" s="417"/>
      <c r="W762" s="417"/>
      <c r="X762" s="417"/>
      <c r="Y762" s="417"/>
      <c r="Z762" s="417"/>
    </row>
    <row r="763" spans="1:26" ht="15.75">
      <c r="A763" s="417"/>
      <c r="B763" s="417"/>
      <c r="C763" s="417"/>
      <c r="D763" s="417"/>
      <c r="E763" s="417"/>
      <c r="F763" s="417"/>
      <c r="G763" s="417"/>
      <c r="H763" s="417"/>
      <c r="I763" s="417"/>
      <c r="J763" s="417"/>
      <c r="K763" s="417"/>
      <c r="L763" s="417"/>
      <c r="M763" s="417"/>
      <c r="N763" s="417"/>
      <c r="O763" s="417"/>
      <c r="P763" s="417"/>
      <c r="Q763" s="417"/>
      <c r="R763" s="417"/>
      <c r="S763" s="417"/>
      <c r="T763" s="417"/>
      <c r="U763" s="417"/>
      <c r="V763" s="417"/>
      <c r="W763" s="417"/>
      <c r="X763" s="417"/>
      <c r="Y763" s="417"/>
      <c r="Z763" s="417"/>
    </row>
    <row r="764" spans="1:26" ht="15.75">
      <c r="A764" s="417"/>
      <c r="B764" s="417"/>
      <c r="C764" s="417"/>
      <c r="D764" s="417"/>
      <c r="E764" s="417"/>
      <c r="F764" s="417"/>
      <c r="G764" s="417"/>
      <c r="H764" s="417"/>
      <c r="I764" s="417"/>
      <c r="J764" s="417"/>
      <c r="K764" s="417"/>
      <c r="L764" s="417"/>
      <c r="M764" s="417"/>
      <c r="N764" s="417"/>
      <c r="O764" s="417"/>
      <c r="P764" s="417"/>
      <c r="Q764" s="417"/>
      <c r="R764" s="417"/>
      <c r="S764" s="417"/>
      <c r="T764" s="417"/>
      <c r="U764" s="417"/>
      <c r="V764" s="417"/>
      <c r="W764" s="417"/>
      <c r="X764" s="417"/>
      <c r="Y764" s="417"/>
      <c r="Z764" s="417"/>
    </row>
    <row r="765" spans="1:26" ht="15.75">
      <c r="A765" s="417"/>
      <c r="B765" s="417"/>
      <c r="C765" s="417"/>
      <c r="D765" s="417"/>
      <c r="E765" s="417"/>
      <c r="F765" s="417"/>
      <c r="G765" s="417"/>
      <c r="H765" s="417"/>
      <c r="I765" s="417"/>
      <c r="J765" s="417"/>
      <c r="K765" s="417"/>
      <c r="L765" s="417"/>
      <c r="M765" s="417"/>
      <c r="N765" s="417"/>
      <c r="O765" s="417"/>
      <c r="P765" s="417"/>
      <c r="Q765" s="417"/>
      <c r="R765" s="417"/>
      <c r="S765" s="417"/>
      <c r="T765" s="417"/>
      <c r="U765" s="417"/>
      <c r="V765" s="417"/>
      <c r="W765" s="417"/>
      <c r="X765" s="417"/>
      <c r="Y765" s="417"/>
      <c r="Z765" s="417"/>
    </row>
    <row r="766" spans="1:26" ht="15.75">
      <c r="A766" s="417"/>
      <c r="B766" s="417"/>
      <c r="C766" s="417"/>
      <c r="D766" s="417"/>
      <c r="E766" s="417"/>
      <c r="F766" s="417"/>
      <c r="G766" s="417"/>
      <c r="H766" s="417"/>
      <c r="I766" s="417"/>
      <c r="J766" s="417"/>
      <c r="K766" s="417"/>
      <c r="L766" s="417"/>
      <c r="M766" s="417"/>
      <c r="N766" s="417"/>
      <c r="O766" s="417"/>
      <c r="P766" s="417"/>
      <c r="Q766" s="417"/>
      <c r="R766" s="417"/>
      <c r="S766" s="417"/>
      <c r="T766" s="417"/>
      <c r="U766" s="417"/>
      <c r="V766" s="417"/>
      <c r="W766" s="417"/>
      <c r="X766" s="417"/>
      <c r="Y766" s="417"/>
      <c r="Z766" s="417"/>
    </row>
    <row r="767" spans="1:26" ht="15.75">
      <c r="A767" s="417"/>
      <c r="B767" s="417"/>
      <c r="C767" s="417"/>
      <c r="D767" s="417"/>
      <c r="E767" s="417"/>
      <c r="F767" s="417"/>
      <c r="G767" s="417"/>
      <c r="H767" s="417"/>
      <c r="I767" s="417"/>
      <c r="J767" s="417"/>
      <c r="K767" s="417"/>
      <c r="L767" s="417"/>
      <c r="M767" s="417"/>
      <c r="N767" s="417"/>
      <c r="O767" s="417"/>
      <c r="P767" s="417"/>
      <c r="Q767" s="417"/>
      <c r="R767" s="417"/>
      <c r="S767" s="417"/>
      <c r="T767" s="417"/>
      <c r="U767" s="417"/>
      <c r="V767" s="417"/>
      <c r="W767" s="417"/>
      <c r="X767" s="417"/>
      <c r="Y767" s="417"/>
      <c r="Z767" s="417"/>
    </row>
    <row r="768" spans="1:26" ht="15.75">
      <c r="A768" s="417"/>
      <c r="B768" s="417"/>
      <c r="C768" s="417"/>
      <c r="D768" s="417"/>
      <c r="E768" s="417"/>
      <c r="F768" s="417"/>
      <c r="G768" s="417"/>
      <c r="H768" s="417"/>
      <c r="I768" s="417"/>
      <c r="J768" s="417"/>
      <c r="K768" s="417"/>
      <c r="L768" s="417"/>
      <c r="M768" s="417"/>
      <c r="N768" s="417"/>
      <c r="O768" s="417"/>
      <c r="P768" s="417"/>
      <c r="Q768" s="417"/>
      <c r="R768" s="417"/>
      <c r="S768" s="417"/>
      <c r="T768" s="417"/>
      <c r="U768" s="417"/>
      <c r="V768" s="417"/>
      <c r="W768" s="417"/>
      <c r="X768" s="417"/>
      <c r="Y768" s="417"/>
      <c r="Z768" s="417"/>
    </row>
    <row r="769" spans="1:26" ht="15.75">
      <c r="A769" s="417"/>
      <c r="B769" s="417"/>
      <c r="C769" s="417"/>
      <c r="D769" s="417"/>
      <c r="E769" s="417"/>
      <c r="F769" s="417"/>
      <c r="G769" s="417"/>
      <c r="H769" s="417"/>
      <c r="I769" s="417"/>
      <c r="J769" s="417"/>
      <c r="K769" s="417"/>
      <c r="L769" s="417"/>
      <c r="M769" s="417"/>
      <c r="N769" s="417"/>
      <c r="O769" s="417"/>
      <c r="P769" s="417"/>
      <c r="Q769" s="417"/>
      <c r="R769" s="417"/>
      <c r="S769" s="417"/>
      <c r="T769" s="417"/>
      <c r="U769" s="417"/>
      <c r="V769" s="417"/>
      <c r="W769" s="417"/>
      <c r="X769" s="417"/>
      <c r="Y769" s="417"/>
      <c r="Z769" s="417"/>
    </row>
    <row r="770" spans="1:26" ht="15.75">
      <c r="A770" s="417"/>
      <c r="B770" s="417"/>
      <c r="C770" s="417"/>
      <c r="D770" s="417"/>
      <c r="E770" s="417"/>
      <c r="F770" s="417"/>
      <c r="G770" s="417"/>
      <c r="H770" s="417"/>
      <c r="I770" s="417"/>
      <c r="J770" s="417"/>
      <c r="K770" s="417"/>
      <c r="L770" s="417"/>
      <c r="M770" s="417"/>
      <c r="N770" s="417"/>
      <c r="O770" s="417"/>
      <c r="P770" s="417"/>
      <c r="Q770" s="417"/>
      <c r="R770" s="417"/>
      <c r="S770" s="417"/>
      <c r="T770" s="417"/>
      <c r="U770" s="417"/>
      <c r="V770" s="417"/>
      <c r="W770" s="417"/>
      <c r="X770" s="417"/>
      <c r="Y770" s="417"/>
      <c r="Z770" s="417"/>
    </row>
    <row r="771" spans="1:26" ht="15.75">
      <c r="A771" s="417"/>
      <c r="B771" s="417"/>
      <c r="C771" s="417"/>
      <c r="D771" s="417"/>
      <c r="E771" s="417"/>
      <c r="F771" s="417"/>
      <c r="G771" s="417"/>
      <c r="H771" s="417"/>
      <c r="I771" s="417"/>
      <c r="J771" s="417"/>
      <c r="K771" s="417"/>
      <c r="L771" s="417"/>
      <c r="M771" s="417"/>
      <c r="N771" s="417"/>
      <c r="O771" s="417"/>
      <c r="P771" s="417"/>
      <c r="Q771" s="417"/>
      <c r="R771" s="417"/>
      <c r="S771" s="417"/>
      <c r="T771" s="417"/>
      <c r="U771" s="417"/>
      <c r="V771" s="417"/>
      <c r="W771" s="417"/>
      <c r="X771" s="417"/>
      <c r="Y771" s="417"/>
      <c r="Z771" s="417"/>
    </row>
    <row r="772" spans="1:26" ht="15.75">
      <c r="A772" s="417"/>
      <c r="B772" s="417"/>
      <c r="C772" s="417"/>
      <c r="D772" s="417"/>
      <c r="E772" s="417"/>
      <c r="F772" s="417"/>
      <c r="G772" s="417"/>
      <c r="H772" s="417"/>
      <c r="I772" s="417"/>
      <c r="J772" s="417"/>
      <c r="K772" s="417"/>
      <c r="L772" s="417"/>
      <c r="M772" s="417"/>
      <c r="N772" s="417"/>
      <c r="O772" s="417"/>
      <c r="P772" s="417"/>
      <c r="Q772" s="417"/>
      <c r="R772" s="417"/>
      <c r="S772" s="417"/>
      <c r="T772" s="417"/>
      <c r="U772" s="417"/>
      <c r="V772" s="417"/>
      <c r="W772" s="417"/>
      <c r="X772" s="417"/>
      <c r="Y772" s="417"/>
      <c r="Z772" s="417"/>
    </row>
    <row r="773" spans="1:26" ht="15.75">
      <c r="A773" s="417"/>
      <c r="B773" s="417"/>
      <c r="C773" s="417"/>
      <c r="D773" s="417"/>
      <c r="E773" s="417"/>
      <c r="F773" s="417"/>
      <c r="G773" s="417"/>
      <c r="H773" s="417"/>
      <c r="I773" s="417"/>
      <c r="J773" s="417"/>
      <c r="K773" s="417"/>
      <c r="L773" s="417"/>
      <c r="M773" s="417"/>
      <c r="N773" s="417"/>
      <c r="O773" s="417"/>
      <c r="P773" s="417"/>
      <c r="Q773" s="417"/>
      <c r="R773" s="417"/>
      <c r="S773" s="417"/>
      <c r="T773" s="417"/>
      <c r="U773" s="417"/>
      <c r="V773" s="417"/>
      <c r="W773" s="417"/>
      <c r="X773" s="417"/>
      <c r="Y773" s="417"/>
      <c r="Z773" s="417"/>
    </row>
    <row r="774" spans="1:26" ht="15.75">
      <c r="A774" s="417"/>
      <c r="B774" s="417"/>
      <c r="C774" s="417"/>
      <c r="D774" s="417"/>
      <c r="E774" s="417"/>
      <c r="F774" s="417"/>
      <c r="G774" s="417"/>
      <c r="H774" s="417"/>
      <c r="I774" s="417"/>
      <c r="J774" s="417"/>
      <c r="K774" s="417"/>
      <c r="L774" s="417"/>
      <c r="M774" s="417"/>
      <c r="N774" s="417"/>
      <c r="O774" s="417"/>
      <c r="P774" s="417"/>
      <c r="Q774" s="417"/>
      <c r="R774" s="417"/>
      <c r="S774" s="417"/>
      <c r="T774" s="417"/>
      <c r="U774" s="417"/>
      <c r="V774" s="417"/>
      <c r="W774" s="417"/>
      <c r="X774" s="417"/>
      <c r="Y774" s="417"/>
      <c r="Z774" s="417"/>
    </row>
    <row r="775" spans="1:26" ht="15.75">
      <c r="A775" s="417"/>
      <c r="B775" s="417"/>
      <c r="C775" s="417"/>
      <c r="D775" s="417"/>
      <c r="E775" s="417"/>
      <c r="F775" s="417"/>
      <c r="G775" s="417"/>
      <c r="H775" s="417"/>
      <c r="I775" s="417"/>
      <c r="J775" s="417"/>
      <c r="K775" s="417"/>
      <c r="L775" s="417"/>
      <c r="M775" s="417"/>
      <c r="N775" s="417"/>
      <c r="O775" s="417"/>
      <c r="P775" s="417"/>
      <c r="Q775" s="417"/>
      <c r="R775" s="417"/>
      <c r="S775" s="417"/>
      <c r="T775" s="417"/>
      <c r="U775" s="417"/>
      <c r="V775" s="417"/>
      <c r="W775" s="417"/>
      <c r="X775" s="417"/>
      <c r="Y775" s="417"/>
      <c r="Z775" s="417"/>
    </row>
    <row r="776" spans="1:26" ht="15.75">
      <c r="A776" s="417"/>
      <c r="B776" s="417"/>
      <c r="C776" s="417"/>
      <c r="D776" s="417"/>
      <c r="E776" s="417"/>
      <c r="F776" s="417"/>
      <c r="G776" s="417"/>
      <c r="H776" s="417"/>
      <c r="I776" s="417"/>
      <c r="J776" s="417"/>
      <c r="K776" s="417"/>
      <c r="L776" s="417"/>
      <c r="M776" s="417"/>
      <c r="N776" s="417"/>
      <c r="O776" s="417"/>
      <c r="P776" s="417"/>
      <c r="Q776" s="417"/>
      <c r="R776" s="417"/>
      <c r="S776" s="417"/>
      <c r="T776" s="417"/>
      <c r="U776" s="417"/>
      <c r="V776" s="417"/>
      <c r="W776" s="417"/>
      <c r="X776" s="417"/>
      <c r="Y776" s="417"/>
      <c r="Z776" s="417"/>
    </row>
    <row r="777" spans="1:26" ht="15.75">
      <c r="A777" s="417"/>
      <c r="B777" s="417"/>
      <c r="C777" s="417"/>
      <c r="D777" s="417"/>
      <c r="E777" s="417"/>
      <c r="F777" s="417"/>
      <c r="G777" s="417"/>
      <c r="H777" s="417"/>
      <c r="I777" s="417"/>
      <c r="J777" s="417"/>
      <c r="K777" s="417"/>
      <c r="L777" s="417"/>
      <c r="M777" s="417"/>
      <c r="N777" s="417"/>
      <c r="O777" s="417"/>
      <c r="P777" s="417"/>
      <c r="Q777" s="417"/>
      <c r="R777" s="417"/>
      <c r="S777" s="417"/>
      <c r="T777" s="417"/>
      <c r="U777" s="417"/>
      <c r="V777" s="417"/>
      <c r="W777" s="417"/>
      <c r="X777" s="417"/>
      <c r="Y777" s="417"/>
      <c r="Z777" s="417"/>
    </row>
    <row r="778" spans="1:26" ht="15.75">
      <c r="A778" s="417"/>
      <c r="B778" s="417"/>
      <c r="C778" s="417"/>
      <c r="D778" s="417"/>
      <c r="E778" s="417"/>
      <c r="F778" s="417"/>
      <c r="G778" s="417"/>
      <c r="H778" s="417"/>
      <c r="I778" s="417"/>
      <c r="J778" s="417"/>
      <c r="K778" s="417"/>
      <c r="L778" s="417"/>
      <c r="M778" s="417"/>
      <c r="N778" s="417"/>
      <c r="O778" s="417"/>
      <c r="P778" s="417"/>
      <c r="Q778" s="417"/>
      <c r="R778" s="417"/>
      <c r="S778" s="417"/>
      <c r="T778" s="417"/>
      <c r="U778" s="417"/>
      <c r="V778" s="417"/>
      <c r="W778" s="417"/>
      <c r="X778" s="417"/>
      <c r="Y778" s="417"/>
      <c r="Z778" s="417"/>
    </row>
    <row r="779" spans="1:26" ht="15.75">
      <c r="A779" s="417"/>
      <c r="B779" s="417"/>
      <c r="C779" s="417"/>
      <c r="D779" s="417"/>
      <c r="E779" s="417"/>
      <c r="F779" s="417"/>
      <c r="G779" s="417"/>
      <c r="H779" s="417"/>
      <c r="I779" s="417"/>
      <c r="J779" s="417"/>
      <c r="K779" s="417"/>
      <c r="L779" s="417"/>
      <c r="M779" s="417"/>
      <c r="N779" s="417"/>
      <c r="O779" s="417"/>
      <c r="P779" s="417"/>
      <c r="Q779" s="417"/>
      <c r="R779" s="417"/>
      <c r="S779" s="417"/>
      <c r="T779" s="417"/>
      <c r="U779" s="417"/>
      <c r="V779" s="417"/>
      <c r="W779" s="417"/>
      <c r="X779" s="417"/>
      <c r="Y779" s="417"/>
      <c r="Z779" s="417"/>
    </row>
    <row r="780" spans="1:26" ht="15.75">
      <c r="A780" s="417"/>
      <c r="B780" s="417"/>
      <c r="C780" s="417"/>
      <c r="D780" s="417"/>
      <c r="E780" s="417"/>
      <c r="F780" s="417"/>
      <c r="G780" s="417"/>
      <c r="H780" s="417"/>
      <c r="I780" s="417"/>
      <c r="J780" s="417"/>
      <c r="K780" s="417"/>
      <c r="L780" s="417"/>
      <c r="M780" s="417"/>
      <c r="N780" s="417"/>
      <c r="O780" s="417"/>
      <c r="P780" s="417"/>
      <c r="Q780" s="417"/>
      <c r="R780" s="417"/>
      <c r="S780" s="417"/>
      <c r="T780" s="417"/>
      <c r="U780" s="417"/>
      <c r="V780" s="417"/>
      <c r="W780" s="417"/>
      <c r="X780" s="417"/>
      <c r="Y780" s="417"/>
      <c r="Z780" s="417"/>
    </row>
    <row r="781" spans="1:26" ht="15.75">
      <c r="A781" s="417"/>
      <c r="B781" s="417"/>
      <c r="C781" s="417"/>
      <c r="D781" s="417"/>
      <c r="E781" s="417"/>
      <c r="F781" s="417"/>
      <c r="G781" s="417"/>
      <c r="H781" s="417"/>
      <c r="I781" s="417"/>
      <c r="J781" s="417"/>
      <c r="K781" s="417"/>
      <c r="L781" s="417"/>
      <c r="M781" s="417"/>
      <c r="N781" s="417"/>
      <c r="O781" s="417"/>
      <c r="P781" s="417"/>
      <c r="Q781" s="417"/>
      <c r="R781" s="417"/>
      <c r="S781" s="417"/>
      <c r="T781" s="417"/>
      <c r="U781" s="417"/>
      <c r="V781" s="417"/>
      <c r="W781" s="417"/>
      <c r="X781" s="417"/>
      <c r="Y781" s="417"/>
      <c r="Z781" s="417"/>
    </row>
    <row r="782" spans="1:26" ht="15.75">
      <c r="A782" s="417"/>
      <c r="B782" s="417"/>
      <c r="C782" s="417"/>
      <c r="D782" s="417"/>
      <c r="E782" s="417"/>
      <c r="F782" s="417"/>
      <c r="G782" s="417"/>
      <c r="H782" s="417"/>
      <c r="I782" s="417"/>
      <c r="J782" s="417"/>
      <c r="K782" s="417"/>
      <c r="L782" s="417"/>
      <c r="M782" s="417"/>
      <c r="N782" s="417"/>
      <c r="O782" s="417"/>
      <c r="P782" s="417"/>
      <c r="Q782" s="417"/>
      <c r="R782" s="417"/>
      <c r="S782" s="417"/>
      <c r="T782" s="417"/>
      <c r="U782" s="417"/>
      <c r="V782" s="417"/>
      <c r="W782" s="417"/>
      <c r="X782" s="417"/>
      <c r="Y782" s="417"/>
      <c r="Z782" s="417"/>
    </row>
    <row r="783" spans="1:26" ht="15.75">
      <c r="A783" s="417"/>
      <c r="B783" s="417"/>
      <c r="C783" s="417"/>
      <c r="D783" s="417"/>
      <c r="E783" s="417"/>
      <c r="F783" s="417"/>
      <c r="G783" s="417"/>
      <c r="H783" s="417"/>
      <c r="I783" s="417"/>
      <c r="J783" s="417"/>
      <c r="K783" s="417"/>
      <c r="L783" s="417"/>
      <c r="M783" s="417"/>
      <c r="N783" s="417"/>
      <c r="O783" s="417"/>
      <c r="P783" s="417"/>
      <c r="Q783" s="417"/>
      <c r="R783" s="417"/>
      <c r="S783" s="417"/>
      <c r="T783" s="417"/>
      <c r="U783" s="417"/>
      <c r="V783" s="417"/>
      <c r="W783" s="417"/>
      <c r="X783" s="417"/>
      <c r="Y783" s="417"/>
      <c r="Z783" s="417"/>
    </row>
    <row r="784" spans="1:26" ht="15.75">
      <c r="A784" s="417"/>
      <c r="B784" s="417"/>
      <c r="C784" s="417"/>
      <c r="D784" s="417"/>
      <c r="E784" s="417"/>
      <c r="F784" s="417"/>
      <c r="G784" s="417"/>
      <c r="H784" s="417"/>
      <c r="I784" s="417"/>
      <c r="J784" s="417"/>
      <c r="K784" s="417"/>
      <c r="L784" s="417"/>
      <c r="M784" s="417"/>
      <c r="N784" s="417"/>
      <c r="O784" s="417"/>
      <c r="P784" s="417"/>
      <c r="Q784" s="417"/>
      <c r="R784" s="417"/>
      <c r="S784" s="417"/>
      <c r="T784" s="417"/>
      <c r="U784" s="417"/>
      <c r="V784" s="417"/>
      <c r="W784" s="417"/>
      <c r="X784" s="417"/>
      <c r="Y784" s="417"/>
      <c r="Z784" s="417"/>
    </row>
    <row r="785" spans="1:26" ht="15.75">
      <c r="A785" s="417"/>
      <c r="B785" s="417"/>
      <c r="C785" s="417"/>
      <c r="D785" s="417"/>
      <c r="E785" s="417"/>
      <c r="F785" s="417"/>
      <c r="G785" s="417"/>
      <c r="H785" s="417"/>
      <c r="I785" s="417"/>
      <c r="J785" s="417"/>
      <c r="K785" s="417"/>
      <c r="L785" s="417"/>
      <c r="M785" s="417"/>
      <c r="N785" s="417"/>
      <c r="O785" s="417"/>
      <c r="P785" s="417"/>
      <c r="Q785" s="417"/>
      <c r="R785" s="417"/>
      <c r="S785" s="417"/>
      <c r="T785" s="417"/>
      <c r="U785" s="417"/>
      <c r="V785" s="417"/>
      <c r="W785" s="417"/>
      <c r="X785" s="417"/>
      <c r="Y785" s="417"/>
      <c r="Z785" s="417"/>
    </row>
    <row r="786" spans="1:26" ht="15.75">
      <c r="A786" s="417"/>
      <c r="B786" s="417"/>
      <c r="C786" s="417"/>
      <c r="D786" s="417"/>
      <c r="E786" s="417"/>
      <c r="F786" s="417"/>
      <c r="G786" s="417"/>
      <c r="H786" s="417"/>
      <c r="I786" s="417"/>
      <c r="J786" s="417"/>
      <c r="K786" s="417"/>
      <c r="L786" s="417"/>
      <c r="M786" s="417"/>
      <c r="N786" s="417"/>
      <c r="O786" s="417"/>
      <c r="P786" s="417"/>
      <c r="Q786" s="417"/>
      <c r="R786" s="417"/>
      <c r="S786" s="417"/>
      <c r="T786" s="417"/>
      <c r="U786" s="417"/>
      <c r="V786" s="417"/>
      <c r="W786" s="417"/>
      <c r="X786" s="417"/>
      <c r="Y786" s="417"/>
      <c r="Z786" s="417"/>
    </row>
    <row r="787" spans="1:26" ht="15.75">
      <c r="A787" s="417"/>
      <c r="B787" s="417"/>
      <c r="C787" s="417"/>
      <c r="D787" s="417"/>
      <c r="E787" s="417"/>
      <c r="F787" s="417"/>
      <c r="G787" s="417"/>
      <c r="H787" s="417"/>
      <c r="I787" s="417"/>
      <c r="J787" s="417"/>
      <c r="K787" s="417"/>
      <c r="L787" s="417"/>
      <c r="M787" s="417"/>
      <c r="N787" s="417"/>
      <c r="O787" s="417"/>
      <c r="P787" s="417"/>
      <c r="Q787" s="417"/>
      <c r="R787" s="417"/>
      <c r="S787" s="417"/>
      <c r="T787" s="417"/>
      <c r="U787" s="417"/>
      <c r="V787" s="417"/>
      <c r="W787" s="417"/>
      <c r="X787" s="417"/>
      <c r="Y787" s="417"/>
      <c r="Z787" s="417"/>
    </row>
    <row r="788" spans="1:26" ht="15.75">
      <c r="A788" s="417"/>
      <c r="B788" s="417"/>
      <c r="C788" s="417"/>
      <c r="D788" s="417"/>
      <c r="E788" s="417"/>
      <c r="F788" s="417"/>
      <c r="G788" s="417"/>
      <c r="H788" s="417"/>
      <c r="I788" s="417"/>
      <c r="J788" s="417"/>
      <c r="K788" s="417"/>
      <c r="L788" s="417"/>
      <c r="M788" s="417"/>
      <c r="N788" s="417"/>
      <c r="O788" s="417"/>
      <c r="P788" s="417"/>
      <c r="Q788" s="417"/>
      <c r="R788" s="417"/>
      <c r="S788" s="417"/>
      <c r="T788" s="417"/>
      <c r="U788" s="417"/>
      <c r="V788" s="417"/>
      <c r="W788" s="417"/>
      <c r="X788" s="417"/>
      <c r="Y788" s="417"/>
      <c r="Z788" s="417"/>
    </row>
    <row r="789" spans="1:26" ht="15.75">
      <c r="A789" s="417"/>
      <c r="B789" s="417"/>
      <c r="C789" s="417"/>
      <c r="D789" s="417"/>
      <c r="E789" s="417"/>
      <c r="F789" s="417"/>
      <c r="G789" s="417"/>
      <c r="H789" s="417"/>
      <c r="I789" s="417"/>
      <c r="J789" s="417"/>
      <c r="K789" s="417"/>
      <c r="L789" s="417"/>
      <c r="M789" s="417"/>
      <c r="N789" s="417"/>
      <c r="O789" s="417"/>
      <c r="P789" s="417"/>
      <c r="Q789" s="417"/>
      <c r="R789" s="417"/>
      <c r="S789" s="417"/>
      <c r="T789" s="417"/>
      <c r="U789" s="417"/>
      <c r="V789" s="417"/>
      <c r="W789" s="417"/>
      <c r="X789" s="417"/>
      <c r="Y789" s="417"/>
      <c r="Z789" s="417"/>
    </row>
    <row r="790" spans="1:26" ht="15.75">
      <c r="A790" s="417"/>
      <c r="B790" s="417"/>
      <c r="C790" s="417"/>
      <c r="D790" s="417"/>
      <c r="E790" s="417"/>
      <c r="F790" s="417"/>
      <c r="G790" s="417"/>
      <c r="H790" s="417"/>
      <c r="I790" s="417"/>
      <c r="J790" s="417"/>
      <c r="K790" s="417"/>
      <c r="L790" s="417"/>
      <c r="M790" s="417"/>
      <c r="N790" s="417"/>
      <c r="O790" s="417"/>
      <c r="P790" s="417"/>
      <c r="Q790" s="417"/>
      <c r="R790" s="417"/>
      <c r="S790" s="417"/>
      <c r="T790" s="417"/>
      <c r="U790" s="417"/>
      <c r="V790" s="417"/>
      <c r="W790" s="417"/>
      <c r="X790" s="417"/>
      <c r="Y790" s="417"/>
      <c r="Z790" s="417"/>
    </row>
    <row r="791" spans="1:26" ht="15.75">
      <c r="A791" s="417"/>
      <c r="B791" s="417"/>
      <c r="C791" s="417"/>
      <c r="D791" s="417"/>
      <c r="E791" s="417"/>
      <c r="F791" s="417"/>
      <c r="G791" s="417"/>
      <c r="H791" s="417"/>
      <c r="I791" s="417"/>
      <c r="J791" s="417"/>
      <c r="K791" s="417"/>
      <c r="L791" s="417"/>
      <c r="M791" s="417"/>
      <c r="N791" s="417"/>
      <c r="O791" s="417"/>
      <c r="P791" s="417"/>
      <c r="Q791" s="417"/>
      <c r="R791" s="417"/>
      <c r="S791" s="417"/>
      <c r="T791" s="417"/>
      <c r="U791" s="417"/>
      <c r="V791" s="417"/>
      <c r="W791" s="417"/>
      <c r="X791" s="417"/>
      <c r="Y791" s="417"/>
      <c r="Z791" s="417"/>
    </row>
    <row r="792" spans="1:26" ht="15.75">
      <c r="A792" s="417"/>
      <c r="B792" s="417"/>
      <c r="C792" s="417"/>
      <c r="D792" s="417"/>
      <c r="E792" s="417"/>
      <c r="F792" s="417"/>
      <c r="G792" s="417"/>
      <c r="H792" s="417"/>
      <c r="I792" s="417"/>
      <c r="J792" s="417"/>
      <c r="K792" s="417"/>
      <c r="L792" s="417"/>
      <c r="M792" s="417"/>
      <c r="N792" s="417"/>
      <c r="O792" s="417"/>
      <c r="P792" s="417"/>
      <c r="Q792" s="417"/>
      <c r="R792" s="417"/>
      <c r="S792" s="417"/>
      <c r="T792" s="417"/>
      <c r="U792" s="417"/>
      <c r="V792" s="417"/>
      <c r="W792" s="417"/>
      <c r="X792" s="417"/>
      <c r="Y792" s="417"/>
      <c r="Z792" s="417"/>
    </row>
    <row r="793" spans="1:26" ht="15.75">
      <c r="A793" s="417"/>
      <c r="B793" s="417"/>
      <c r="C793" s="417"/>
      <c r="D793" s="417"/>
      <c r="E793" s="417"/>
      <c r="F793" s="417"/>
      <c r="G793" s="417"/>
      <c r="H793" s="417"/>
      <c r="I793" s="417"/>
      <c r="J793" s="417"/>
      <c r="K793" s="417"/>
      <c r="L793" s="417"/>
      <c r="M793" s="417"/>
      <c r="N793" s="417"/>
      <c r="O793" s="417"/>
      <c r="P793" s="417"/>
      <c r="Q793" s="417"/>
      <c r="R793" s="417"/>
      <c r="S793" s="417"/>
      <c r="T793" s="417"/>
      <c r="U793" s="417"/>
      <c r="V793" s="417"/>
      <c r="W793" s="417"/>
      <c r="X793" s="417"/>
      <c r="Y793" s="417"/>
      <c r="Z793" s="417"/>
    </row>
    <row r="794" spans="1:26" ht="15.75">
      <c r="A794" s="417"/>
      <c r="B794" s="417"/>
      <c r="C794" s="417"/>
      <c r="D794" s="417"/>
      <c r="E794" s="417"/>
      <c r="F794" s="417"/>
      <c r="G794" s="417"/>
      <c r="H794" s="417"/>
      <c r="I794" s="417"/>
      <c r="J794" s="417"/>
      <c r="K794" s="417"/>
      <c r="L794" s="417"/>
      <c r="M794" s="417"/>
      <c r="N794" s="417"/>
      <c r="O794" s="417"/>
      <c r="P794" s="417"/>
      <c r="Q794" s="417"/>
      <c r="R794" s="417"/>
      <c r="S794" s="417"/>
      <c r="T794" s="417"/>
      <c r="U794" s="417"/>
      <c r="V794" s="417"/>
      <c r="W794" s="417"/>
      <c r="X794" s="417"/>
      <c r="Y794" s="417"/>
      <c r="Z794" s="417"/>
    </row>
    <row r="795" spans="1:26" ht="15.75">
      <c r="A795" s="417"/>
      <c r="B795" s="417"/>
      <c r="C795" s="417"/>
      <c r="D795" s="417"/>
      <c r="E795" s="417"/>
      <c r="F795" s="417"/>
      <c r="G795" s="417"/>
      <c r="H795" s="417"/>
      <c r="I795" s="417"/>
      <c r="J795" s="417"/>
      <c r="K795" s="417"/>
      <c r="L795" s="417"/>
      <c r="M795" s="417"/>
      <c r="N795" s="417"/>
      <c r="O795" s="417"/>
      <c r="P795" s="417"/>
      <c r="Q795" s="417"/>
      <c r="R795" s="417"/>
      <c r="S795" s="417"/>
      <c r="T795" s="417"/>
      <c r="U795" s="417"/>
      <c r="V795" s="417"/>
      <c r="W795" s="417"/>
      <c r="X795" s="417"/>
      <c r="Y795" s="417"/>
      <c r="Z795" s="417"/>
    </row>
    <row r="796" spans="1:26" ht="15.75">
      <c r="A796" s="417"/>
      <c r="B796" s="417"/>
      <c r="C796" s="417"/>
      <c r="D796" s="417"/>
      <c r="E796" s="417"/>
      <c r="F796" s="417"/>
      <c r="G796" s="417"/>
      <c r="H796" s="417"/>
      <c r="I796" s="417"/>
      <c r="J796" s="417"/>
      <c r="K796" s="417"/>
      <c r="L796" s="417"/>
      <c r="M796" s="417"/>
      <c r="N796" s="417"/>
      <c r="O796" s="417"/>
      <c r="P796" s="417"/>
      <c r="Q796" s="417"/>
      <c r="R796" s="417"/>
      <c r="S796" s="417"/>
      <c r="T796" s="417"/>
      <c r="U796" s="417"/>
      <c r="V796" s="417"/>
      <c r="W796" s="417"/>
      <c r="X796" s="417"/>
      <c r="Y796" s="417"/>
      <c r="Z796" s="417"/>
    </row>
    <row r="797" spans="1:26" ht="15.75">
      <c r="A797" s="417"/>
      <c r="B797" s="417"/>
      <c r="C797" s="417"/>
      <c r="D797" s="417"/>
      <c r="E797" s="417"/>
      <c r="F797" s="417"/>
      <c r="G797" s="417"/>
      <c r="H797" s="417"/>
      <c r="I797" s="417"/>
      <c r="J797" s="417"/>
      <c r="K797" s="417"/>
      <c r="L797" s="417"/>
      <c r="M797" s="417"/>
      <c r="N797" s="417"/>
      <c r="O797" s="417"/>
      <c r="P797" s="417"/>
      <c r="Q797" s="417"/>
      <c r="R797" s="417"/>
      <c r="S797" s="417"/>
      <c r="T797" s="417"/>
      <c r="U797" s="417"/>
      <c r="V797" s="417"/>
      <c r="W797" s="417"/>
      <c r="X797" s="417"/>
      <c r="Y797" s="417"/>
      <c r="Z797" s="417"/>
    </row>
    <row r="798" spans="1:26" ht="15.75">
      <c r="A798" s="417"/>
      <c r="B798" s="417"/>
      <c r="C798" s="417"/>
      <c r="D798" s="417"/>
      <c r="E798" s="417"/>
      <c r="F798" s="417"/>
      <c r="G798" s="417"/>
      <c r="H798" s="417"/>
      <c r="I798" s="417"/>
      <c r="J798" s="417"/>
      <c r="K798" s="417"/>
      <c r="L798" s="417"/>
      <c r="M798" s="417"/>
      <c r="N798" s="417"/>
      <c r="O798" s="417"/>
      <c r="P798" s="417"/>
      <c r="Q798" s="417"/>
      <c r="R798" s="417"/>
      <c r="S798" s="417"/>
      <c r="T798" s="417"/>
      <c r="U798" s="417"/>
      <c r="V798" s="417"/>
      <c r="W798" s="417"/>
      <c r="X798" s="417"/>
      <c r="Y798" s="417"/>
      <c r="Z798" s="417"/>
    </row>
    <row r="799" spans="1:26" ht="15.75">
      <c r="A799" s="417"/>
      <c r="B799" s="417"/>
      <c r="C799" s="417"/>
      <c r="D799" s="417"/>
      <c r="E799" s="417"/>
      <c r="F799" s="417"/>
      <c r="G799" s="417"/>
      <c r="H799" s="417"/>
      <c r="I799" s="417"/>
      <c r="J799" s="417"/>
      <c r="K799" s="417"/>
      <c r="L799" s="417"/>
      <c r="M799" s="417"/>
      <c r="N799" s="417"/>
      <c r="O799" s="417"/>
      <c r="P799" s="417"/>
      <c r="Q799" s="417"/>
      <c r="R799" s="417"/>
      <c r="S799" s="417"/>
      <c r="T799" s="417"/>
      <c r="U799" s="417"/>
      <c r="V799" s="417"/>
      <c r="W799" s="417"/>
      <c r="X799" s="417"/>
      <c r="Y799" s="417"/>
      <c r="Z799" s="417"/>
    </row>
    <row r="800" spans="1:26" ht="15.75">
      <c r="A800" s="417"/>
      <c r="B800" s="417"/>
      <c r="C800" s="417"/>
      <c r="D800" s="417"/>
      <c r="E800" s="417"/>
      <c r="F800" s="417"/>
      <c r="G800" s="417"/>
      <c r="H800" s="417"/>
      <c r="I800" s="417"/>
      <c r="J800" s="417"/>
      <c r="K800" s="417"/>
      <c r="L800" s="417"/>
      <c r="M800" s="417"/>
      <c r="N800" s="417"/>
      <c r="O800" s="417"/>
      <c r="P800" s="417"/>
      <c r="Q800" s="417"/>
      <c r="R800" s="417"/>
      <c r="S800" s="417"/>
      <c r="T800" s="417"/>
      <c r="U800" s="417"/>
      <c r="V800" s="417"/>
      <c r="W800" s="417"/>
      <c r="X800" s="417"/>
      <c r="Y800" s="417"/>
      <c r="Z800" s="417"/>
    </row>
    <row r="801" spans="1:26" ht="15.75">
      <c r="A801" s="417"/>
      <c r="B801" s="417"/>
      <c r="C801" s="417"/>
      <c r="D801" s="417"/>
      <c r="E801" s="417"/>
      <c r="F801" s="417"/>
      <c r="G801" s="417"/>
      <c r="H801" s="417"/>
      <c r="I801" s="417"/>
      <c r="J801" s="417"/>
      <c r="K801" s="417"/>
      <c r="L801" s="417"/>
      <c r="M801" s="417"/>
      <c r="N801" s="417"/>
      <c r="O801" s="417"/>
      <c r="P801" s="417"/>
      <c r="Q801" s="417"/>
      <c r="R801" s="417"/>
      <c r="S801" s="417"/>
      <c r="T801" s="417"/>
      <c r="U801" s="417"/>
      <c r="V801" s="417"/>
      <c r="W801" s="417"/>
      <c r="X801" s="417"/>
      <c r="Y801" s="417"/>
      <c r="Z801" s="417"/>
    </row>
    <row r="802" spans="1:26" ht="15.75">
      <c r="A802" s="417"/>
      <c r="B802" s="417"/>
      <c r="C802" s="417"/>
      <c r="D802" s="417"/>
      <c r="E802" s="417"/>
      <c r="F802" s="417"/>
      <c r="G802" s="417"/>
      <c r="H802" s="417"/>
      <c r="I802" s="417"/>
      <c r="J802" s="417"/>
      <c r="K802" s="417"/>
      <c r="L802" s="417"/>
      <c r="M802" s="417"/>
      <c r="N802" s="417"/>
      <c r="O802" s="417"/>
      <c r="P802" s="417"/>
      <c r="Q802" s="417"/>
      <c r="R802" s="417"/>
      <c r="S802" s="417"/>
      <c r="T802" s="417"/>
      <c r="U802" s="417"/>
      <c r="V802" s="417"/>
      <c r="W802" s="417"/>
      <c r="X802" s="417"/>
      <c r="Y802" s="417"/>
      <c r="Z802" s="417"/>
    </row>
    <row r="803" spans="1:26" ht="15.75">
      <c r="A803" s="417"/>
      <c r="B803" s="417"/>
      <c r="C803" s="417"/>
      <c r="D803" s="417"/>
      <c r="E803" s="417"/>
      <c r="F803" s="417"/>
      <c r="G803" s="417"/>
      <c r="H803" s="417"/>
      <c r="I803" s="417"/>
      <c r="J803" s="417"/>
      <c r="K803" s="417"/>
      <c r="L803" s="417"/>
      <c r="M803" s="417"/>
      <c r="N803" s="417"/>
      <c r="O803" s="417"/>
      <c r="P803" s="417"/>
      <c r="Q803" s="417"/>
      <c r="R803" s="417"/>
      <c r="S803" s="417"/>
      <c r="T803" s="417"/>
      <c r="U803" s="417"/>
      <c r="V803" s="417"/>
      <c r="W803" s="417"/>
      <c r="X803" s="417"/>
      <c r="Y803" s="417"/>
      <c r="Z803" s="417"/>
    </row>
    <row r="804" spans="1:26" ht="15.75">
      <c r="A804" s="417"/>
      <c r="B804" s="417"/>
      <c r="C804" s="417"/>
      <c r="D804" s="417"/>
      <c r="E804" s="417"/>
      <c r="F804" s="417"/>
      <c r="G804" s="417"/>
      <c r="H804" s="417"/>
      <c r="I804" s="417"/>
      <c r="J804" s="417"/>
      <c r="K804" s="417"/>
      <c r="L804" s="417"/>
      <c r="M804" s="417"/>
      <c r="N804" s="417"/>
      <c r="O804" s="417"/>
      <c r="P804" s="417"/>
      <c r="Q804" s="417"/>
      <c r="R804" s="417"/>
      <c r="S804" s="417"/>
      <c r="T804" s="417"/>
      <c r="U804" s="417"/>
      <c r="V804" s="417"/>
      <c r="W804" s="417"/>
      <c r="X804" s="417"/>
      <c r="Y804" s="417"/>
      <c r="Z804" s="417"/>
    </row>
    <row r="805" spans="1:26" ht="15.75">
      <c r="A805" s="417"/>
      <c r="B805" s="417"/>
      <c r="C805" s="417"/>
      <c r="D805" s="417"/>
      <c r="E805" s="417"/>
      <c r="F805" s="417"/>
      <c r="G805" s="417"/>
      <c r="H805" s="417"/>
      <c r="I805" s="417"/>
      <c r="J805" s="417"/>
      <c r="K805" s="417"/>
      <c r="L805" s="417"/>
      <c r="M805" s="417"/>
      <c r="N805" s="417"/>
      <c r="O805" s="417"/>
      <c r="P805" s="417"/>
      <c r="Q805" s="417"/>
      <c r="R805" s="417"/>
      <c r="S805" s="417"/>
      <c r="T805" s="417"/>
      <c r="U805" s="417"/>
      <c r="V805" s="417"/>
      <c r="W805" s="417"/>
      <c r="X805" s="417"/>
      <c r="Y805" s="417"/>
      <c r="Z805" s="417"/>
    </row>
    <row r="806" spans="1:26" ht="15.75">
      <c r="A806" s="417"/>
      <c r="B806" s="417"/>
      <c r="C806" s="417"/>
      <c r="D806" s="417"/>
      <c r="E806" s="417"/>
      <c r="F806" s="417"/>
      <c r="G806" s="417"/>
      <c r="H806" s="417"/>
      <c r="I806" s="417"/>
      <c r="J806" s="417"/>
      <c r="K806" s="417"/>
      <c r="L806" s="417"/>
      <c r="M806" s="417"/>
      <c r="N806" s="417"/>
      <c r="O806" s="417"/>
      <c r="P806" s="417"/>
      <c r="Q806" s="417"/>
      <c r="R806" s="417"/>
      <c r="S806" s="417"/>
      <c r="T806" s="417"/>
      <c r="U806" s="417"/>
      <c r="V806" s="417"/>
      <c r="W806" s="417"/>
      <c r="X806" s="417"/>
      <c r="Y806" s="417"/>
      <c r="Z806" s="417"/>
    </row>
    <row r="807" spans="1:26" ht="15.75">
      <c r="A807" s="417"/>
      <c r="B807" s="417"/>
      <c r="C807" s="417"/>
      <c r="D807" s="417"/>
      <c r="E807" s="417"/>
      <c r="F807" s="417"/>
      <c r="G807" s="417"/>
      <c r="H807" s="417"/>
      <c r="I807" s="417"/>
      <c r="J807" s="417"/>
      <c r="K807" s="417"/>
      <c r="L807" s="417"/>
      <c r="M807" s="417"/>
      <c r="N807" s="417"/>
      <c r="O807" s="417"/>
      <c r="P807" s="417"/>
      <c r="Q807" s="417"/>
      <c r="R807" s="417"/>
      <c r="S807" s="417"/>
      <c r="T807" s="417"/>
      <c r="U807" s="417"/>
      <c r="V807" s="417"/>
      <c r="W807" s="417"/>
      <c r="X807" s="417"/>
      <c r="Y807" s="417"/>
      <c r="Z807" s="417"/>
    </row>
    <row r="808" spans="1:26" ht="15.75">
      <c r="A808" s="417"/>
      <c r="B808" s="417"/>
      <c r="C808" s="417"/>
      <c r="D808" s="417"/>
      <c r="E808" s="417"/>
      <c r="F808" s="417"/>
      <c r="G808" s="417"/>
      <c r="H808" s="417"/>
      <c r="I808" s="417"/>
      <c r="J808" s="417"/>
      <c r="K808" s="417"/>
      <c r="L808" s="417"/>
      <c r="M808" s="417"/>
      <c r="N808" s="417"/>
      <c r="O808" s="417"/>
      <c r="P808" s="417"/>
      <c r="Q808" s="417"/>
      <c r="R808" s="417"/>
      <c r="S808" s="417"/>
      <c r="T808" s="417"/>
      <c r="U808" s="417"/>
      <c r="V808" s="417"/>
      <c r="W808" s="417"/>
      <c r="X808" s="417"/>
      <c r="Y808" s="417"/>
      <c r="Z808" s="417"/>
    </row>
    <row r="809" spans="1:26" ht="15.75">
      <c r="A809" s="417"/>
      <c r="B809" s="417"/>
      <c r="C809" s="417"/>
      <c r="D809" s="417"/>
      <c r="E809" s="417"/>
      <c r="F809" s="417"/>
      <c r="G809" s="417"/>
      <c r="H809" s="417"/>
      <c r="I809" s="417"/>
      <c r="J809" s="417"/>
      <c r="K809" s="417"/>
      <c r="L809" s="417"/>
      <c r="M809" s="417"/>
      <c r="N809" s="417"/>
      <c r="O809" s="417"/>
      <c r="P809" s="417"/>
      <c r="Q809" s="417"/>
      <c r="R809" s="417"/>
      <c r="S809" s="417"/>
      <c r="T809" s="417"/>
      <c r="U809" s="417"/>
      <c r="V809" s="417"/>
      <c r="W809" s="417"/>
      <c r="X809" s="417"/>
      <c r="Y809" s="417"/>
      <c r="Z809" s="417"/>
    </row>
    <row r="810" spans="1:26" ht="15.75">
      <c r="A810" s="417"/>
      <c r="B810" s="417"/>
      <c r="C810" s="417"/>
      <c r="D810" s="417"/>
      <c r="E810" s="417"/>
      <c r="F810" s="417"/>
      <c r="G810" s="417"/>
      <c r="H810" s="417"/>
      <c r="I810" s="417"/>
      <c r="J810" s="417"/>
      <c r="K810" s="417"/>
      <c r="L810" s="417"/>
      <c r="M810" s="417"/>
      <c r="N810" s="417"/>
      <c r="O810" s="417"/>
      <c r="P810" s="417"/>
      <c r="Q810" s="417"/>
      <c r="R810" s="417"/>
      <c r="S810" s="417"/>
      <c r="T810" s="417"/>
      <c r="U810" s="417"/>
      <c r="V810" s="417"/>
      <c r="W810" s="417"/>
      <c r="X810" s="417"/>
      <c r="Y810" s="417"/>
      <c r="Z810" s="417"/>
    </row>
    <row r="811" spans="1:26" ht="15.75">
      <c r="A811" s="417"/>
      <c r="B811" s="417"/>
      <c r="C811" s="417"/>
      <c r="D811" s="417"/>
      <c r="E811" s="417"/>
      <c r="F811" s="417"/>
      <c r="G811" s="417"/>
      <c r="H811" s="417"/>
      <c r="I811" s="417"/>
      <c r="J811" s="417"/>
      <c r="K811" s="417"/>
      <c r="L811" s="417"/>
      <c r="M811" s="417"/>
      <c r="N811" s="417"/>
      <c r="O811" s="417"/>
      <c r="P811" s="417"/>
      <c r="Q811" s="417"/>
      <c r="R811" s="417"/>
      <c r="S811" s="417"/>
      <c r="T811" s="417"/>
      <c r="U811" s="417"/>
      <c r="V811" s="417"/>
      <c r="W811" s="417"/>
      <c r="X811" s="417"/>
      <c r="Y811" s="417"/>
      <c r="Z811" s="417"/>
    </row>
    <row r="812" spans="1:26" ht="15.75">
      <c r="A812" s="417"/>
      <c r="B812" s="417"/>
      <c r="C812" s="417"/>
      <c r="D812" s="417"/>
      <c r="E812" s="417"/>
      <c r="F812" s="417"/>
      <c r="G812" s="417"/>
      <c r="H812" s="417"/>
      <c r="I812" s="417"/>
      <c r="J812" s="417"/>
      <c r="K812" s="417"/>
      <c r="L812" s="417"/>
      <c r="M812" s="417"/>
      <c r="N812" s="417"/>
      <c r="O812" s="417"/>
      <c r="P812" s="417"/>
      <c r="Q812" s="417"/>
      <c r="R812" s="417"/>
      <c r="S812" s="417"/>
      <c r="T812" s="417"/>
      <c r="U812" s="417"/>
      <c r="V812" s="417"/>
      <c r="W812" s="417"/>
      <c r="X812" s="417"/>
      <c r="Y812" s="417"/>
      <c r="Z812" s="417"/>
    </row>
    <row r="813" spans="1:26" ht="15.75">
      <c r="A813" s="417"/>
      <c r="B813" s="417"/>
      <c r="C813" s="417"/>
      <c r="D813" s="417"/>
      <c r="E813" s="417"/>
      <c r="F813" s="417"/>
      <c r="G813" s="417"/>
      <c r="H813" s="417"/>
      <c r="I813" s="417"/>
      <c r="J813" s="417"/>
      <c r="K813" s="417"/>
      <c r="L813" s="417"/>
      <c r="M813" s="417"/>
      <c r="N813" s="417"/>
      <c r="O813" s="417"/>
      <c r="P813" s="417"/>
      <c r="Q813" s="417"/>
      <c r="R813" s="417"/>
      <c r="S813" s="417"/>
      <c r="T813" s="417"/>
      <c r="U813" s="417"/>
      <c r="V813" s="417"/>
      <c r="W813" s="417"/>
      <c r="X813" s="417"/>
      <c r="Y813" s="417"/>
      <c r="Z813" s="417"/>
    </row>
    <row r="814" spans="1:26" ht="15.75">
      <c r="A814" s="417"/>
      <c r="B814" s="417"/>
      <c r="C814" s="417"/>
      <c r="D814" s="417"/>
      <c r="E814" s="417"/>
      <c r="F814" s="417"/>
      <c r="G814" s="417"/>
      <c r="H814" s="417"/>
      <c r="I814" s="417"/>
      <c r="J814" s="417"/>
      <c r="K814" s="417"/>
      <c r="L814" s="417"/>
      <c r="M814" s="417"/>
      <c r="N814" s="417"/>
      <c r="O814" s="417"/>
      <c r="P814" s="417"/>
      <c r="Q814" s="417"/>
      <c r="R814" s="417"/>
      <c r="S814" s="417"/>
      <c r="T814" s="417"/>
      <c r="U814" s="417"/>
      <c r="V814" s="417"/>
      <c r="W814" s="417"/>
      <c r="X814" s="417"/>
      <c r="Y814" s="417"/>
      <c r="Z814" s="417"/>
    </row>
    <row r="815" spans="1:26" ht="15.75">
      <c r="A815" s="417"/>
      <c r="B815" s="417"/>
      <c r="C815" s="417"/>
      <c r="D815" s="417"/>
      <c r="E815" s="417"/>
      <c r="F815" s="417"/>
      <c r="G815" s="417"/>
      <c r="H815" s="417"/>
      <c r="I815" s="417"/>
      <c r="J815" s="417"/>
      <c r="K815" s="417"/>
      <c r="L815" s="417"/>
      <c r="M815" s="417"/>
      <c r="N815" s="417"/>
      <c r="O815" s="417"/>
      <c r="P815" s="417"/>
      <c r="Q815" s="417"/>
      <c r="R815" s="417"/>
      <c r="S815" s="417"/>
      <c r="T815" s="417"/>
      <c r="U815" s="417"/>
      <c r="V815" s="417"/>
      <c r="W815" s="417"/>
      <c r="X815" s="417"/>
      <c r="Y815" s="417"/>
      <c r="Z815" s="417"/>
    </row>
    <row r="816" spans="1:26" ht="15.75">
      <c r="A816" s="417"/>
      <c r="B816" s="417"/>
      <c r="C816" s="417"/>
      <c r="D816" s="417"/>
      <c r="E816" s="417"/>
      <c r="F816" s="417"/>
      <c r="G816" s="417"/>
      <c r="H816" s="417"/>
      <c r="I816" s="417"/>
      <c r="J816" s="417"/>
      <c r="K816" s="417"/>
      <c r="L816" s="417"/>
      <c r="M816" s="417"/>
      <c r="N816" s="417"/>
      <c r="O816" s="417"/>
      <c r="P816" s="417"/>
      <c r="Q816" s="417"/>
      <c r="R816" s="417"/>
      <c r="S816" s="417"/>
      <c r="T816" s="417"/>
      <c r="U816" s="417"/>
      <c r="V816" s="417"/>
      <c r="W816" s="417"/>
      <c r="X816" s="417"/>
      <c r="Y816" s="417"/>
      <c r="Z816" s="417"/>
    </row>
    <row r="817" spans="1:26" ht="15.75">
      <c r="A817" s="417"/>
      <c r="B817" s="417"/>
      <c r="C817" s="417"/>
      <c r="D817" s="417"/>
      <c r="E817" s="417"/>
      <c r="F817" s="417"/>
      <c r="G817" s="417"/>
      <c r="H817" s="417"/>
      <c r="I817" s="417"/>
      <c r="J817" s="417"/>
      <c r="K817" s="417"/>
      <c r="L817" s="417"/>
      <c r="M817" s="417"/>
      <c r="N817" s="417"/>
      <c r="O817" s="417"/>
      <c r="P817" s="417"/>
      <c r="Q817" s="417"/>
      <c r="R817" s="417"/>
      <c r="S817" s="417"/>
      <c r="T817" s="417"/>
      <c r="U817" s="417"/>
      <c r="V817" s="417"/>
      <c r="W817" s="417"/>
      <c r="X817" s="417"/>
      <c r="Y817" s="417"/>
      <c r="Z817" s="417"/>
    </row>
    <row r="818" spans="1:26" ht="15.75">
      <c r="A818" s="417"/>
      <c r="B818" s="417"/>
      <c r="C818" s="417"/>
      <c r="D818" s="417"/>
      <c r="E818" s="417"/>
      <c r="F818" s="417"/>
      <c r="G818" s="417"/>
      <c r="H818" s="417"/>
      <c r="I818" s="417"/>
      <c r="J818" s="417"/>
      <c r="K818" s="417"/>
      <c r="L818" s="417"/>
      <c r="M818" s="417"/>
      <c r="N818" s="417"/>
      <c r="O818" s="417"/>
      <c r="P818" s="417"/>
      <c r="Q818" s="417"/>
      <c r="R818" s="417"/>
      <c r="S818" s="417"/>
      <c r="T818" s="417"/>
      <c r="U818" s="417"/>
      <c r="V818" s="417"/>
      <c r="W818" s="417"/>
      <c r="X818" s="417"/>
      <c r="Y818" s="417"/>
      <c r="Z818" s="417"/>
    </row>
    <row r="819" spans="1:26" ht="15.75">
      <c r="A819" s="417"/>
      <c r="B819" s="417"/>
      <c r="C819" s="417"/>
      <c r="D819" s="417"/>
      <c r="E819" s="417"/>
      <c r="F819" s="417"/>
      <c r="G819" s="417"/>
      <c r="H819" s="417"/>
      <c r="I819" s="417"/>
      <c r="J819" s="417"/>
      <c r="K819" s="417"/>
      <c r="L819" s="417"/>
      <c r="M819" s="417"/>
      <c r="N819" s="417"/>
      <c r="O819" s="417"/>
      <c r="P819" s="417"/>
      <c r="Q819" s="417"/>
      <c r="R819" s="417"/>
      <c r="S819" s="417"/>
      <c r="T819" s="417"/>
      <c r="U819" s="417"/>
      <c r="V819" s="417"/>
      <c r="W819" s="417"/>
      <c r="X819" s="417"/>
      <c r="Y819" s="417"/>
      <c r="Z819" s="417"/>
    </row>
    <row r="820" spans="1:26" ht="15.75">
      <c r="A820" s="417"/>
      <c r="B820" s="417"/>
      <c r="C820" s="417"/>
      <c r="D820" s="417"/>
      <c r="E820" s="417"/>
      <c r="F820" s="417"/>
      <c r="G820" s="417"/>
      <c r="H820" s="417"/>
      <c r="I820" s="417"/>
      <c r="J820" s="417"/>
      <c r="K820" s="417"/>
      <c r="L820" s="417"/>
      <c r="M820" s="417"/>
      <c r="N820" s="417"/>
      <c r="O820" s="417"/>
      <c r="P820" s="417"/>
      <c r="Q820" s="417"/>
      <c r="R820" s="417"/>
      <c r="S820" s="417"/>
      <c r="T820" s="417"/>
      <c r="U820" s="417"/>
      <c r="V820" s="417"/>
      <c r="W820" s="417"/>
      <c r="X820" s="417"/>
      <c r="Y820" s="417"/>
      <c r="Z820" s="417"/>
    </row>
    <row r="821" spans="1:26" ht="15.75">
      <c r="A821" s="417"/>
      <c r="B821" s="417"/>
      <c r="C821" s="417"/>
      <c r="D821" s="417"/>
      <c r="E821" s="417"/>
      <c r="F821" s="417"/>
      <c r="G821" s="417"/>
      <c r="H821" s="417"/>
      <c r="I821" s="417"/>
      <c r="J821" s="417"/>
      <c r="K821" s="417"/>
      <c r="L821" s="417"/>
      <c r="M821" s="417"/>
      <c r="N821" s="417"/>
      <c r="O821" s="417"/>
      <c r="P821" s="417"/>
      <c r="Q821" s="417"/>
      <c r="R821" s="417"/>
      <c r="S821" s="417"/>
      <c r="T821" s="417"/>
      <c r="U821" s="417"/>
      <c r="V821" s="417"/>
      <c r="W821" s="417"/>
      <c r="X821" s="417"/>
      <c r="Y821" s="417"/>
      <c r="Z821" s="417"/>
    </row>
    <row r="822" spans="1:26" ht="15.75">
      <c r="A822" s="417"/>
      <c r="B822" s="417"/>
      <c r="C822" s="417"/>
      <c r="D822" s="417"/>
      <c r="E822" s="417"/>
      <c r="F822" s="417"/>
      <c r="G822" s="417"/>
      <c r="H822" s="417"/>
      <c r="I822" s="417"/>
      <c r="J822" s="417"/>
      <c r="K822" s="417"/>
      <c r="L822" s="417"/>
      <c r="M822" s="417"/>
      <c r="N822" s="417"/>
      <c r="O822" s="417"/>
      <c r="P822" s="417"/>
      <c r="Q822" s="417"/>
      <c r="R822" s="417"/>
      <c r="S822" s="417"/>
      <c r="T822" s="417"/>
      <c r="U822" s="417"/>
      <c r="V822" s="417"/>
      <c r="W822" s="417"/>
      <c r="X822" s="417"/>
      <c r="Y822" s="417"/>
      <c r="Z822" s="417"/>
    </row>
    <row r="823" spans="1:26" ht="15.75">
      <c r="A823" s="417"/>
      <c r="B823" s="417"/>
      <c r="C823" s="417"/>
      <c r="D823" s="417"/>
      <c r="E823" s="417"/>
      <c r="F823" s="417"/>
      <c r="G823" s="417"/>
      <c r="H823" s="417"/>
      <c r="I823" s="417"/>
      <c r="J823" s="417"/>
      <c r="K823" s="417"/>
      <c r="L823" s="417"/>
      <c r="M823" s="417"/>
      <c r="N823" s="417"/>
      <c r="O823" s="417"/>
      <c r="P823" s="417"/>
      <c r="Q823" s="417"/>
      <c r="R823" s="417"/>
      <c r="S823" s="417"/>
      <c r="T823" s="417"/>
      <c r="U823" s="417"/>
      <c r="V823" s="417"/>
      <c r="W823" s="417"/>
      <c r="X823" s="417"/>
      <c r="Y823" s="417"/>
      <c r="Z823" s="417"/>
    </row>
    <row r="824" spans="1:26" ht="15.75">
      <c r="A824" s="417"/>
      <c r="B824" s="417"/>
      <c r="C824" s="417"/>
      <c r="D824" s="417"/>
      <c r="E824" s="417"/>
      <c r="F824" s="417"/>
      <c r="G824" s="417"/>
      <c r="H824" s="417"/>
      <c r="I824" s="417"/>
      <c r="J824" s="417"/>
      <c r="K824" s="417"/>
      <c r="L824" s="417"/>
      <c r="M824" s="417"/>
      <c r="N824" s="417"/>
      <c r="O824" s="417"/>
      <c r="P824" s="417"/>
      <c r="Q824" s="417"/>
      <c r="R824" s="417"/>
      <c r="S824" s="417"/>
      <c r="T824" s="417"/>
      <c r="U824" s="417"/>
      <c r="V824" s="417"/>
      <c r="W824" s="417"/>
      <c r="X824" s="417"/>
      <c r="Y824" s="417"/>
      <c r="Z824" s="417"/>
    </row>
    <row r="825" spans="1:26" ht="15.75">
      <c r="A825" s="417"/>
      <c r="B825" s="417"/>
      <c r="C825" s="417"/>
      <c r="D825" s="417"/>
      <c r="E825" s="417"/>
      <c r="F825" s="417"/>
      <c r="G825" s="417"/>
      <c r="H825" s="417"/>
      <c r="I825" s="417"/>
      <c r="J825" s="417"/>
      <c r="K825" s="417"/>
      <c r="L825" s="417"/>
      <c r="M825" s="417"/>
      <c r="N825" s="417"/>
      <c r="O825" s="417"/>
      <c r="P825" s="417"/>
      <c r="Q825" s="417"/>
      <c r="R825" s="417"/>
      <c r="S825" s="417"/>
      <c r="T825" s="417"/>
      <c r="U825" s="417"/>
      <c r="V825" s="417"/>
      <c r="W825" s="417"/>
      <c r="X825" s="417"/>
      <c r="Y825" s="417"/>
      <c r="Z825" s="417"/>
    </row>
    <row r="826" spans="1:26" ht="15.75">
      <c r="A826" s="417"/>
      <c r="B826" s="417"/>
      <c r="C826" s="417"/>
      <c r="D826" s="417"/>
      <c r="E826" s="417"/>
      <c r="F826" s="417"/>
      <c r="G826" s="417"/>
      <c r="H826" s="417"/>
      <c r="I826" s="417"/>
      <c r="J826" s="417"/>
      <c r="K826" s="417"/>
      <c r="L826" s="417"/>
      <c r="M826" s="417"/>
      <c r="N826" s="417"/>
      <c r="O826" s="417"/>
      <c r="P826" s="417"/>
      <c r="Q826" s="417"/>
      <c r="R826" s="417"/>
      <c r="S826" s="417"/>
      <c r="T826" s="417"/>
      <c r="U826" s="417"/>
      <c r="V826" s="417"/>
      <c r="W826" s="417"/>
      <c r="X826" s="417"/>
      <c r="Y826" s="417"/>
      <c r="Z826" s="417"/>
    </row>
    <row r="827" spans="1:26" ht="15.75">
      <c r="A827" s="417"/>
      <c r="B827" s="417"/>
      <c r="C827" s="417"/>
      <c r="D827" s="417"/>
      <c r="E827" s="417"/>
      <c r="F827" s="417"/>
      <c r="G827" s="417"/>
      <c r="H827" s="417"/>
      <c r="I827" s="417"/>
      <c r="J827" s="417"/>
      <c r="K827" s="417"/>
      <c r="L827" s="417"/>
      <c r="M827" s="417"/>
      <c r="N827" s="417"/>
      <c r="O827" s="417"/>
      <c r="P827" s="417"/>
      <c r="Q827" s="417"/>
      <c r="R827" s="417"/>
      <c r="S827" s="417"/>
      <c r="T827" s="417"/>
      <c r="U827" s="417"/>
      <c r="V827" s="417"/>
      <c r="W827" s="417"/>
      <c r="X827" s="417"/>
      <c r="Y827" s="417"/>
      <c r="Z827" s="417"/>
    </row>
    <row r="828" spans="1:26" ht="15.75">
      <c r="A828" s="417"/>
      <c r="B828" s="417"/>
      <c r="C828" s="417"/>
      <c r="D828" s="417"/>
      <c r="E828" s="417"/>
      <c r="F828" s="417"/>
      <c r="G828" s="417"/>
      <c r="H828" s="417"/>
      <c r="I828" s="417"/>
      <c r="J828" s="417"/>
      <c r="K828" s="417"/>
      <c r="L828" s="417"/>
      <c r="M828" s="417"/>
      <c r="N828" s="417"/>
      <c r="O828" s="417"/>
      <c r="P828" s="417"/>
      <c r="Q828" s="417"/>
      <c r="R828" s="417"/>
      <c r="S828" s="417"/>
      <c r="T828" s="417"/>
      <c r="U828" s="417"/>
      <c r="V828" s="417"/>
      <c r="W828" s="417"/>
      <c r="X828" s="417"/>
      <c r="Y828" s="417"/>
      <c r="Z828" s="417"/>
    </row>
    <row r="829" spans="1:26" ht="15.75">
      <c r="A829" s="417"/>
      <c r="B829" s="417"/>
      <c r="C829" s="417"/>
      <c r="D829" s="417"/>
      <c r="E829" s="417"/>
      <c r="F829" s="417"/>
      <c r="G829" s="417"/>
      <c r="H829" s="417"/>
      <c r="I829" s="417"/>
      <c r="J829" s="417"/>
      <c r="K829" s="417"/>
      <c r="L829" s="417"/>
      <c r="M829" s="417"/>
      <c r="N829" s="417"/>
      <c r="O829" s="417"/>
      <c r="P829" s="417"/>
      <c r="Q829" s="417"/>
      <c r="R829" s="417"/>
      <c r="S829" s="417"/>
      <c r="T829" s="417"/>
      <c r="U829" s="417"/>
      <c r="V829" s="417"/>
      <c r="W829" s="417"/>
      <c r="X829" s="417"/>
      <c r="Y829" s="417"/>
      <c r="Z829" s="417"/>
    </row>
    <row r="830" spans="1:26" ht="15.75">
      <c r="A830" s="417"/>
      <c r="B830" s="417"/>
      <c r="C830" s="417"/>
      <c r="D830" s="417"/>
      <c r="E830" s="417"/>
      <c r="F830" s="417"/>
      <c r="G830" s="417"/>
      <c r="H830" s="417"/>
      <c r="I830" s="417"/>
      <c r="J830" s="417"/>
      <c r="K830" s="417"/>
      <c r="L830" s="417"/>
      <c r="M830" s="417"/>
      <c r="N830" s="417"/>
      <c r="O830" s="417"/>
      <c r="P830" s="417"/>
      <c r="Q830" s="417"/>
      <c r="R830" s="417"/>
      <c r="S830" s="417"/>
      <c r="T830" s="417"/>
      <c r="U830" s="417"/>
      <c r="V830" s="417"/>
      <c r="W830" s="417"/>
      <c r="X830" s="417"/>
      <c r="Y830" s="417"/>
      <c r="Z830" s="417"/>
    </row>
    <row r="831" spans="1:26" ht="15.75">
      <c r="A831" s="417"/>
      <c r="B831" s="417"/>
      <c r="C831" s="417"/>
      <c r="D831" s="417"/>
      <c r="E831" s="417"/>
      <c r="F831" s="417"/>
      <c r="G831" s="417"/>
      <c r="H831" s="417"/>
      <c r="I831" s="417"/>
      <c r="J831" s="417"/>
      <c r="K831" s="417"/>
      <c r="L831" s="417"/>
      <c r="M831" s="417"/>
      <c r="N831" s="417"/>
      <c r="O831" s="417"/>
      <c r="P831" s="417"/>
      <c r="Q831" s="417"/>
      <c r="R831" s="417"/>
      <c r="S831" s="417"/>
      <c r="T831" s="417"/>
      <c r="U831" s="417"/>
      <c r="V831" s="417"/>
      <c r="W831" s="417"/>
      <c r="X831" s="417"/>
      <c r="Y831" s="417"/>
      <c r="Z831" s="417"/>
    </row>
    <row r="832" spans="1:26" ht="15.75">
      <c r="A832" s="417"/>
      <c r="B832" s="417"/>
      <c r="C832" s="417"/>
      <c r="D832" s="417"/>
      <c r="E832" s="417"/>
      <c r="F832" s="417"/>
      <c r="G832" s="417"/>
      <c r="H832" s="417"/>
      <c r="I832" s="417"/>
      <c r="J832" s="417"/>
      <c r="K832" s="417"/>
      <c r="L832" s="417"/>
      <c r="M832" s="417"/>
      <c r="N832" s="417"/>
      <c r="O832" s="417"/>
      <c r="P832" s="417"/>
      <c r="Q832" s="417"/>
      <c r="R832" s="417"/>
      <c r="S832" s="417"/>
      <c r="T832" s="417"/>
      <c r="U832" s="417"/>
      <c r="V832" s="417"/>
      <c r="W832" s="417"/>
      <c r="X832" s="417"/>
      <c r="Y832" s="417"/>
      <c r="Z832" s="417"/>
    </row>
    <row r="833" spans="1:26" ht="15.75">
      <c r="A833" s="417"/>
      <c r="B833" s="417"/>
      <c r="C833" s="417"/>
      <c r="D833" s="417"/>
      <c r="E833" s="417"/>
      <c r="F833" s="417"/>
      <c r="G833" s="417"/>
      <c r="H833" s="417"/>
      <c r="I833" s="417"/>
      <c r="J833" s="417"/>
      <c r="K833" s="417"/>
      <c r="L833" s="417"/>
      <c r="M833" s="417"/>
      <c r="N833" s="417"/>
      <c r="O833" s="417"/>
      <c r="P833" s="417"/>
      <c r="Q833" s="417"/>
      <c r="R833" s="417"/>
      <c r="S833" s="417"/>
      <c r="T833" s="417"/>
      <c r="U833" s="417"/>
      <c r="V833" s="417"/>
      <c r="W833" s="417"/>
      <c r="X833" s="417"/>
      <c r="Y833" s="417"/>
      <c r="Z833" s="417"/>
    </row>
    <row r="834" spans="1:26" ht="15.75">
      <c r="A834" s="417"/>
      <c r="B834" s="417"/>
      <c r="C834" s="417"/>
      <c r="D834" s="417"/>
      <c r="E834" s="417"/>
      <c r="F834" s="417"/>
      <c r="G834" s="417"/>
      <c r="H834" s="417"/>
      <c r="I834" s="417"/>
      <c r="J834" s="417"/>
      <c r="K834" s="417"/>
      <c r="L834" s="417"/>
      <c r="M834" s="417"/>
      <c r="N834" s="417"/>
      <c r="O834" s="417"/>
      <c r="P834" s="417"/>
      <c r="Q834" s="417"/>
      <c r="R834" s="417"/>
      <c r="S834" s="417"/>
      <c r="T834" s="417"/>
      <c r="U834" s="417"/>
      <c r="V834" s="417"/>
      <c r="W834" s="417"/>
      <c r="X834" s="417"/>
      <c r="Y834" s="417"/>
      <c r="Z834" s="417"/>
    </row>
    <row r="835" spans="1:26" ht="15.75">
      <c r="A835" s="417"/>
      <c r="B835" s="417"/>
      <c r="C835" s="417"/>
      <c r="D835" s="417"/>
      <c r="E835" s="417"/>
      <c r="F835" s="417"/>
      <c r="G835" s="417"/>
      <c r="H835" s="417"/>
      <c r="I835" s="417"/>
      <c r="J835" s="417"/>
      <c r="K835" s="417"/>
      <c r="L835" s="417"/>
      <c r="M835" s="417"/>
      <c r="N835" s="417"/>
      <c r="O835" s="417"/>
      <c r="P835" s="417"/>
      <c r="Q835" s="417"/>
      <c r="R835" s="417"/>
      <c r="S835" s="417"/>
      <c r="T835" s="417"/>
      <c r="U835" s="417"/>
      <c r="V835" s="417"/>
      <c r="W835" s="417"/>
      <c r="X835" s="417"/>
      <c r="Y835" s="417"/>
      <c r="Z835" s="417"/>
    </row>
    <row r="836" spans="1:26" ht="15.75">
      <c r="A836" s="417"/>
      <c r="B836" s="417"/>
      <c r="C836" s="417"/>
      <c r="D836" s="417"/>
      <c r="E836" s="417"/>
      <c r="F836" s="417"/>
      <c r="G836" s="417"/>
      <c r="H836" s="417"/>
      <c r="I836" s="417"/>
      <c r="J836" s="417"/>
      <c r="K836" s="417"/>
      <c r="L836" s="417"/>
      <c r="M836" s="417"/>
      <c r="N836" s="417"/>
      <c r="O836" s="417"/>
      <c r="P836" s="417"/>
      <c r="Q836" s="417"/>
      <c r="R836" s="417"/>
      <c r="S836" s="417"/>
      <c r="T836" s="417"/>
      <c r="U836" s="417"/>
      <c r="V836" s="417"/>
      <c r="W836" s="417"/>
      <c r="X836" s="417"/>
      <c r="Y836" s="417"/>
      <c r="Z836" s="417"/>
    </row>
    <row r="837" spans="1:26" ht="15.75">
      <c r="A837" s="417"/>
      <c r="B837" s="417"/>
      <c r="C837" s="417"/>
      <c r="D837" s="417"/>
      <c r="E837" s="417"/>
      <c r="F837" s="417"/>
      <c r="G837" s="417"/>
      <c r="H837" s="417"/>
      <c r="I837" s="417"/>
      <c r="J837" s="417"/>
      <c r="K837" s="417"/>
      <c r="L837" s="417"/>
      <c r="M837" s="417"/>
      <c r="N837" s="417"/>
      <c r="O837" s="417"/>
      <c r="P837" s="417"/>
      <c r="Q837" s="417"/>
      <c r="R837" s="417"/>
      <c r="S837" s="417"/>
      <c r="T837" s="417"/>
      <c r="U837" s="417"/>
      <c r="V837" s="417"/>
      <c r="W837" s="417"/>
      <c r="X837" s="417"/>
      <c r="Y837" s="417"/>
      <c r="Z837" s="417"/>
    </row>
    <row r="838" spans="1:26" ht="15.75">
      <c r="A838" s="417"/>
      <c r="B838" s="417"/>
      <c r="C838" s="417"/>
      <c r="D838" s="417"/>
      <c r="E838" s="417"/>
      <c r="F838" s="417"/>
      <c r="G838" s="417"/>
      <c r="H838" s="417"/>
      <c r="I838" s="417"/>
      <c r="J838" s="417"/>
      <c r="K838" s="417"/>
      <c r="L838" s="417"/>
      <c r="M838" s="417"/>
      <c r="N838" s="417"/>
      <c r="O838" s="417"/>
      <c r="P838" s="417"/>
      <c r="Q838" s="417"/>
      <c r="R838" s="417"/>
      <c r="S838" s="417"/>
      <c r="T838" s="417"/>
      <c r="U838" s="417"/>
      <c r="V838" s="417"/>
      <c r="W838" s="417"/>
      <c r="X838" s="417"/>
      <c r="Y838" s="417"/>
      <c r="Z838" s="417"/>
    </row>
    <row r="839" spans="1:26" ht="15.75">
      <c r="A839" s="417"/>
      <c r="B839" s="417"/>
      <c r="C839" s="417"/>
      <c r="D839" s="417"/>
      <c r="E839" s="417"/>
      <c r="F839" s="417"/>
      <c r="G839" s="417"/>
      <c r="H839" s="417"/>
      <c r="I839" s="417"/>
      <c r="J839" s="417"/>
      <c r="K839" s="417"/>
      <c r="L839" s="417"/>
      <c r="M839" s="417"/>
      <c r="N839" s="417"/>
      <c r="O839" s="417"/>
      <c r="P839" s="417"/>
      <c r="Q839" s="417"/>
      <c r="R839" s="417"/>
      <c r="S839" s="417"/>
      <c r="T839" s="417"/>
      <c r="U839" s="417"/>
      <c r="V839" s="417"/>
      <c r="W839" s="417"/>
      <c r="X839" s="417"/>
      <c r="Y839" s="417"/>
      <c r="Z839" s="417"/>
    </row>
    <row r="840" spans="1:26" ht="15.75">
      <c r="A840" s="417"/>
      <c r="B840" s="417"/>
      <c r="C840" s="417"/>
      <c r="D840" s="417"/>
      <c r="E840" s="417"/>
      <c r="F840" s="417"/>
      <c r="G840" s="417"/>
      <c r="H840" s="417"/>
      <c r="I840" s="417"/>
      <c r="J840" s="417"/>
      <c r="K840" s="417"/>
      <c r="L840" s="417"/>
      <c r="M840" s="417"/>
      <c r="N840" s="417"/>
      <c r="O840" s="417"/>
      <c r="P840" s="417"/>
      <c r="Q840" s="417"/>
      <c r="R840" s="417"/>
      <c r="S840" s="417"/>
      <c r="T840" s="417"/>
      <c r="U840" s="417"/>
      <c r="V840" s="417"/>
      <c r="W840" s="417"/>
      <c r="X840" s="417"/>
      <c r="Y840" s="417"/>
      <c r="Z840" s="417"/>
    </row>
    <row r="841" spans="1:26" ht="15.75">
      <c r="A841" s="417"/>
      <c r="B841" s="417"/>
      <c r="C841" s="417"/>
      <c r="D841" s="417"/>
      <c r="E841" s="417"/>
      <c r="F841" s="417"/>
      <c r="G841" s="417"/>
      <c r="H841" s="417"/>
      <c r="I841" s="417"/>
      <c r="J841" s="417"/>
      <c r="K841" s="417"/>
      <c r="L841" s="417"/>
      <c r="M841" s="417"/>
      <c r="N841" s="417"/>
      <c r="O841" s="417"/>
      <c r="P841" s="417"/>
      <c r="Q841" s="417"/>
      <c r="R841" s="417"/>
      <c r="S841" s="417"/>
      <c r="T841" s="417"/>
      <c r="U841" s="417"/>
      <c r="V841" s="417"/>
      <c r="W841" s="417"/>
      <c r="X841" s="417"/>
      <c r="Y841" s="417"/>
      <c r="Z841" s="417"/>
    </row>
    <row r="842" spans="1:26" ht="15.75">
      <c r="A842" s="417"/>
      <c r="B842" s="417"/>
      <c r="C842" s="417"/>
      <c r="D842" s="417"/>
      <c r="E842" s="417"/>
      <c r="F842" s="417"/>
      <c r="G842" s="417"/>
      <c r="H842" s="417"/>
      <c r="I842" s="417"/>
      <c r="J842" s="417"/>
      <c r="K842" s="417"/>
      <c r="L842" s="417"/>
      <c r="M842" s="417"/>
      <c r="N842" s="417"/>
      <c r="O842" s="417"/>
      <c r="P842" s="417"/>
      <c r="Q842" s="417"/>
      <c r="R842" s="417"/>
      <c r="S842" s="417"/>
      <c r="T842" s="417"/>
      <c r="U842" s="417"/>
      <c r="V842" s="417"/>
      <c r="W842" s="417"/>
      <c r="X842" s="417"/>
      <c r="Y842" s="417"/>
      <c r="Z842" s="417"/>
    </row>
    <row r="843" spans="1:26" ht="15.75">
      <c r="A843" s="417"/>
      <c r="B843" s="417"/>
      <c r="C843" s="417"/>
      <c r="D843" s="417"/>
      <c r="E843" s="417"/>
      <c r="F843" s="417"/>
      <c r="G843" s="417"/>
      <c r="H843" s="417"/>
      <c r="I843" s="417"/>
      <c r="J843" s="417"/>
      <c r="K843" s="417"/>
      <c r="L843" s="417"/>
      <c r="M843" s="417"/>
      <c r="N843" s="417"/>
      <c r="O843" s="417"/>
      <c r="P843" s="417"/>
      <c r="Q843" s="417"/>
      <c r="R843" s="417"/>
      <c r="S843" s="417"/>
      <c r="T843" s="417"/>
      <c r="U843" s="417"/>
      <c r="V843" s="417"/>
      <c r="W843" s="417"/>
      <c r="X843" s="417"/>
      <c r="Y843" s="417"/>
      <c r="Z843" s="417"/>
    </row>
    <row r="844" spans="1:26" ht="15.75">
      <c r="A844" s="417"/>
      <c r="B844" s="417"/>
      <c r="C844" s="417"/>
      <c r="D844" s="417"/>
      <c r="E844" s="417"/>
      <c r="F844" s="417"/>
      <c r="G844" s="417"/>
      <c r="H844" s="417"/>
      <c r="I844" s="417"/>
      <c r="J844" s="417"/>
      <c r="K844" s="417"/>
      <c r="L844" s="417"/>
      <c r="M844" s="417"/>
      <c r="N844" s="417"/>
      <c r="O844" s="417"/>
      <c r="P844" s="417"/>
      <c r="Q844" s="417"/>
      <c r="R844" s="417"/>
      <c r="S844" s="417"/>
      <c r="T844" s="417"/>
      <c r="U844" s="417"/>
      <c r="V844" s="417"/>
      <c r="W844" s="417"/>
      <c r="X844" s="417"/>
      <c r="Y844" s="417"/>
      <c r="Z844" s="417"/>
    </row>
    <row r="845" spans="1:26" ht="15.75">
      <c r="A845" s="417"/>
      <c r="B845" s="417"/>
      <c r="C845" s="417"/>
      <c r="D845" s="417"/>
      <c r="E845" s="417"/>
      <c r="F845" s="417"/>
      <c r="G845" s="417"/>
      <c r="H845" s="417"/>
      <c r="I845" s="417"/>
      <c r="J845" s="417"/>
      <c r="K845" s="417"/>
      <c r="L845" s="417"/>
      <c r="M845" s="417"/>
      <c r="N845" s="417"/>
      <c r="O845" s="417"/>
      <c r="P845" s="417"/>
      <c r="Q845" s="417"/>
      <c r="R845" s="417"/>
      <c r="S845" s="417"/>
      <c r="T845" s="417"/>
      <c r="U845" s="417"/>
      <c r="V845" s="417"/>
      <c r="W845" s="417"/>
      <c r="X845" s="417"/>
      <c r="Y845" s="417"/>
      <c r="Z845" s="417"/>
    </row>
    <row r="846" spans="1:26" ht="15.75">
      <c r="A846" s="417"/>
      <c r="B846" s="417"/>
      <c r="C846" s="417"/>
      <c r="D846" s="417"/>
      <c r="E846" s="417"/>
      <c r="F846" s="417"/>
      <c r="G846" s="417"/>
      <c r="H846" s="417"/>
      <c r="I846" s="417"/>
      <c r="J846" s="417"/>
      <c r="K846" s="417"/>
      <c r="L846" s="417"/>
      <c r="M846" s="417"/>
      <c r="N846" s="417"/>
      <c r="O846" s="417"/>
      <c r="P846" s="417"/>
      <c r="Q846" s="417"/>
      <c r="R846" s="417"/>
      <c r="S846" s="417"/>
      <c r="T846" s="417"/>
      <c r="U846" s="417"/>
      <c r="V846" s="417"/>
      <c r="W846" s="417"/>
      <c r="X846" s="417"/>
      <c r="Y846" s="417"/>
      <c r="Z846" s="417"/>
    </row>
    <row r="847" spans="1:26" ht="15.75">
      <c r="A847" s="417"/>
      <c r="B847" s="417"/>
      <c r="C847" s="417"/>
      <c r="D847" s="417"/>
      <c r="E847" s="417"/>
      <c r="F847" s="417"/>
      <c r="G847" s="417"/>
      <c r="H847" s="417"/>
      <c r="I847" s="417"/>
      <c r="J847" s="417"/>
      <c r="K847" s="417"/>
      <c r="L847" s="417"/>
      <c r="M847" s="417"/>
      <c r="N847" s="417"/>
      <c r="O847" s="417"/>
      <c r="P847" s="417"/>
      <c r="Q847" s="417"/>
      <c r="R847" s="417"/>
      <c r="S847" s="417"/>
      <c r="T847" s="417"/>
      <c r="U847" s="417"/>
      <c r="V847" s="417"/>
      <c r="W847" s="417"/>
      <c r="X847" s="417"/>
      <c r="Y847" s="417"/>
      <c r="Z847" s="417"/>
    </row>
    <row r="848" spans="1:26" ht="15.75">
      <c r="A848" s="417"/>
      <c r="B848" s="417"/>
      <c r="C848" s="417"/>
      <c r="D848" s="417"/>
      <c r="E848" s="417"/>
      <c r="F848" s="417"/>
      <c r="G848" s="417"/>
      <c r="H848" s="417"/>
      <c r="I848" s="417"/>
      <c r="J848" s="417"/>
      <c r="K848" s="417"/>
      <c r="L848" s="417"/>
      <c r="M848" s="417"/>
      <c r="N848" s="417"/>
      <c r="O848" s="417"/>
      <c r="P848" s="417"/>
      <c r="Q848" s="417"/>
      <c r="R848" s="417"/>
      <c r="S848" s="417"/>
      <c r="T848" s="417"/>
      <c r="U848" s="417"/>
      <c r="V848" s="417"/>
      <c r="W848" s="417"/>
      <c r="X848" s="417"/>
      <c r="Y848" s="417"/>
      <c r="Z848" s="417"/>
    </row>
    <row r="849" spans="1:26" ht="15.75">
      <c r="A849" s="417"/>
      <c r="B849" s="417"/>
      <c r="C849" s="417"/>
      <c r="D849" s="417"/>
      <c r="E849" s="417"/>
      <c r="F849" s="417"/>
      <c r="G849" s="417"/>
      <c r="H849" s="417"/>
      <c r="I849" s="417"/>
      <c r="J849" s="417"/>
      <c r="K849" s="417"/>
      <c r="L849" s="417"/>
      <c r="M849" s="417"/>
      <c r="N849" s="417"/>
      <c r="O849" s="417"/>
      <c r="P849" s="417"/>
      <c r="Q849" s="417"/>
      <c r="R849" s="417"/>
      <c r="S849" s="417"/>
      <c r="T849" s="417"/>
      <c r="U849" s="417"/>
      <c r="V849" s="417"/>
      <c r="W849" s="417"/>
      <c r="X849" s="417"/>
      <c r="Y849" s="417"/>
      <c r="Z849" s="417"/>
    </row>
    <row r="850" spans="1:26" ht="15.75">
      <c r="A850" s="417"/>
      <c r="B850" s="417"/>
      <c r="C850" s="417"/>
      <c r="D850" s="417"/>
      <c r="E850" s="417"/>
      <c r="F850" s="417"/>
      <c r="G850" s="417"/>
      <c r="H850" s="417"/>
      <c r="I850" s="417"/>
      <c r="J850" s="417"/>
      <c r="K850" s="417"/>
      <c r="L850" s="417"/>
      <c r="M850" s="417"/>
      <c r="N850" s="417"/>
      <c r="O850" s="417"/>
      <c r="P850" s="417"/>
      <c r="Q850" s="417"/>
      <c r="R850" s="417"/>
      <c r="S850" s="417"/>
      <c r="T850" s="417"/>
      <c r="U850" s="417"/>
      <c r="V850" s="417"/>
      <c r="W850" s="417"/>
      <c r="X850" s="417"/>
      <c r="Y850" s="417"/>
      <c r="Z850" s="417"/>
    </row>
    <row r="851" spans="1:26" ht="15.75">
      <c r="A851" s="417"/>
      <c r="B851" s="417"/>
      <c r="C851" s="417"/>
      <c r="D851" s="417"/>
      <c r="E851" s="417"/>
      <c r="F851" s="417"/>
      <c r="G851" s="417"/>
      <c r="H851" s="417"/>
      <c r="I851" s="417"/>
      <c r="J851" s="417"/>
      <c r="K851" s="417"/>
      <c r="L851" s="417"/>
      <c r="M851" s="417"/>
      <c r="N851" s="417"/>
      <c r="O851" s="417"/>
      <c r="P851" s="417"/>
      <c r="Q851" s="417"/>
      <c r="R851" s="417"/>
      <c r="S851" s="417"/>
      <c r="T851" s="417"/>
      <c r="U851" s="417"/>
      <c r="V851" s="417"/>
      <c r="W851" s="417"/>
      <c r="X851" s="417"/>
      <c r="Y851" s="417"/>
      <c r="Z851" s="417"/>
    </row>
    <row r="852" spans="1:26" ht="15.75">
      <c r="A852" s="417"/>
      <c r="B852" s="417"/>
      <c r="C852" s="417"/>
      <c r="D852" s="417"/>
      <c r="E852" s="417"/>
      <c r="F852" s="417"/>
      <c r="G852" s="417"/>
      <c r="H852" s="417"/>
      <c r="I852" s="417"/>
      <c r="J852" s="417"/>
      <c r="K852" s="417"/>
      <c r="L852" s="417"/>
      <c r="M852" s="417"/>
      <c r="N852" s="417"/>
      <c r="O852" s="417"/>
      <c r="P852" s="417"/>
      <c r="Q852" s="417"/>
      <c r="R852" s="417"/>
      <c r="S852" s="417"/>
      <c r="T852" s="417"/>
      <c r="U852" s="417"/>
      <c r="V852" s="417"/>
      <c r="W852" s="417"/>
      <c r="X852" s="417"/>
      <c r="Y852" s="417"/>
      <c r="Z852" s="417"/>
    </row>
    <row r="853" spans="1:26" ht="15.75">
      <c r="A853" s="417"/>
      <c r="B853" s="417"/>
      <c r="C853" s="417"/>
      <c r="D853" s="417"/>
      <c r="E853" s="417"/>
      <c r="F853" s="417"/>
      <c r="G853" s="417"/>
      <c r="H853" s="417"/>
      <c r="I853" s="417"/>
      <c r="J853" s="417"/>
      <c r="K853" s="417"/>
      <c r="L853" s="417"/>
      <c r="M853" s="417"/>
      <c r="N853" s="417"/>
      <c r="O853" s="417"/>
      <c r="P853" s="417"/>
      <c r="Q853" s="417"/>
      <c r="R853" s="417"/>
      <c r="S853" s="417"/>
      <c r="T853" s="417"/>
      <c r="U853" s="417"/>
      <c r="V853" s="417"/>
      <c r="W853" s="417"/>
      <c r="X853" s="417"/>
      <c r="Y853" s="417"/>
      <c r="Z853" s="417"/>
    </row>
    <row r="854" spans="1:26" ht="15.75">
      <c r="A854" s="417"/>
      <c r="B854" s="417"/>
      <c r="C854" s="417"/>
      <c r="D854" s="417"/>
      <c r="E854" s="417"/>
      <c r="F854" s="417"/>
      <c r="G854" s="417"/>
      <c r="H854" s="417"/>
      <c r="I854" s="417"/>
      <c r="J854" s="417"/>
      <c r="K854" s="417"/>
      <c r="L854" s="417"/>
      <c r="M854" s="417"/>
      <c r="N854" s="417"/>
      <c r="O854" s="417"/>
      <c r="P854" s="417"/>
      <c r="Q854" s="417"/>
      <c r="R854" s="417"/>
      <c r="S854" s="417"/>
      <c r="T854" s="417"/>
      <c r="U854" s="417"/>
      <c r="V854" s="417"/>
      <c r="W854" s="417"/>
      <c r="X854" s="417"/>
      <c r="Y854" s="417"/>
      <c r="Z854" s="417"/>
    </row>
    <row r="855" spans="1:26" ht="15.75">
      <c r="A855" s="417"/>
      <c r="B855" s="417"/>
      <c r="C855" s="417"/>
      <c r="D855" s="417"/>
      <c r="E855" s="417"/>
      <c r="F855" s="417"/>
      <c r="G855" s="417"/>
      <c r="H855" s="417"/>
      <c r="I855" s="417"/>
      <c r="J855" s="417"/>
      <c r="K855" s="417"/>
      <c r="L855" s="417"/>
      <c r="M855" s="417"/>
      <c r="N855" s="417"/>
      <c r="O855" s="417"/>
      <c r="P855" s="417"/>
      <c r="Q855" s="417"/>
      <c r="R855" s="417"/>
      <c r="S855" s="417"/>
      <c r="T855" s="417"/>
      <c r="U855" s="417"/>
      <c r="V855" s="417"/>
      <c r="W855" s="417"/>
      <c r="X855" s="417"/>
      <c r="Y855" s="417"/>
      <c r="Z855" s="417"/>
    </row>
    <row r="856" spans="1:26" ht="15.75">
      <c r="A856" s="417"/>
      <c r="B856" s="417"/>
      <c r="C856" s="417"/>
      <c r="D856" s="417"/>
      <c r="E856" s="417"/>
      <c r="F856" s="417"/>
      <c r="G856" s="417"/>
      <c r="H856" s="417"/>
      <c r="I856" s="417"/>
      <c r="J856" s="417"/>
      <c r="K856" s="417"/>
      <c r="L856" s="417"/>
      <c r="M856" s="417"/>
      <c r="N856" s="417"/>
      <c r="O856" s="417"/>
      <c r="P856" s="417"/>
      <c r="Q856" s="417"/>
      <c r="R856" s="417"/>
      <c r="S856" s="417"/>
      <c r="T856" s="417"/>
      <c r="U856" s="417"/>
      <c r="V856" s="417"/>
      <c r="W856" s="417"/>
      <c r="X856" s="417"/>
      <c r="Y856" s="417"/>
      <c r="Z856" s="417"/>
    </row>
    <row r="857" spans="1:26" ht="15.75">
      <c r="A857" s="417"/>
      <c r="B857" s="417"/>
      <c r="C857" s="417"/>
      <c r="D857" s="417"/>
      <c r="E857" s="417"/>
      <c r="F857" s="417"/>
      <c r="G857" s="417"/>
      <c r="H857" s="417"/>
      <c r="I857" s="417"/>
      <c r="J857" s="417"/>
      <c r="K857" s="417"/>
      <c r="L857" s="417"/>
      <c r="M857" s="417"/>
      <c r="N857" s="417"/>
      <c r="O857" s="417"/>
      <c r="P857" s="417"/>
      <c r="Q857" s="417"/>
      <c r="R857" s="417"/>
      <c r="S857" s="417"/>
      <c r="T857" s="417"/>
      <c r="U857" s="417"/>
      <c r="V857" s="417"/>
      <c r="W857" s="417"/>
      <c r="X857" s="417"/>
      <c r="Y857" s="417"/>
      <c r="Z857" s="417"/>
    </row>
    <row r="858" spans="1:26" ht="15.75">
      <c r="A858" s="417"/>
      <c r="B858" s="417"/>
      <c r="C858" s="417"/>
      <c r="D858" s="417"/>
      <c r="E858" s="417"/>
      <c r="F858" s="417"/>
      <c r="G858" s="417"/>
      <c r="H858" s="417"/>
      <c r="I858" s="417"/>
      <c r="J858" s="417"/>
      <c r="K858" s="417"/>
      <c r="L858" s="417"/>
      <c r="M858" s="417"/>
      <c r="N858" s="417"/>
      <c r="O858" s="417"/>
      <c r="P858" s="417"/>
      <c r="Q858" s="417"/>
      <c r="R858" s="417"/>
      <c r="S858" s="417"/>
      <c r="T858" s="417"/>
      <c r="U858" s="417"/>
      <c r="V858" s="417"/>
      <c r="W858" s="417"/>
      <c r="X858" s="417"/>
      <c r="Y858" s="417"/>
      <c r="Z858" s="417"/>
    </row>
    <row r="859" spans="1:26" ht="15.75">
      <c r="A859" s="417"/>
      <c r="B859" s="417"/>
      <c r="C859" s="417"/>
      <c r="D859" s="417"/>
      <c r="E859" s="417"/>
      <c r="F859" s="417"/>
      <c r="G859" s="417"/>
      <c r="H859" s="417"/>
      <c r="I859" s="417"/>
      <c r="J859" s="417"/>
      <c r="K859" s="417"/>
      <c r="L859" s="417"/>
      <c r="M859" s="417"/>
      <c r="N859" s="417"/>
      <c r="O859" s="417"/>
      <c r="P859" s="417"/>
      <c r="Q859" s="417"/>
      <c r="R859" s="417"/>
      <c r="S859" s="417"/>
      <c r="T859" s="417"/>
      <c r="U859" s="417"/>
      <c r="V859" s="417"/>
      <c r="W859" s="417"/>
      <c r="X859" s="417"/>
      <c r="Y859" s="417"/>
      <c r="Z859" s="417"/>
    </row>
    <row r="860" spans="1:26" ht="15.75">
      <c r="A860" s="417"/>
      <c r="B860" s="417"/>
      <c r="C860" s="417"/>
      <c r="D860" s="417"/>
      <c r="E860" s="417"/>
      <c r="F860" s="417"/>
      <c r="G860" s="417"/>
      <c r="H860" s="417"/>
      <c r="I860" s="417"/>
      <c r="J860" s="417"/>
      <c r="K860" s="417"/>
      <c r="L860" s="417"/>
      <c r="M860" s="417"/>
      <c r="N860" s="417"/>
      <c r="O860" s="417"/>
      <c r="P860" s="417"/>
      <c r="Q860" s="417"/>
      <c r="R860" s="417"/>
      <c r="S860" s="417"/>
      <c r="T860" s="417"/>
      <c r="U860" s="417"/>
      <c r="V860" s="417"/>
      <c r="W860" s="417"/>
      <c r="X860" s="417"/>
      <c r="Y860" s="417"/>
      <c r="Z860" s="417"/>
    </row>
    <row r="861" spans="1:26" ht="15.75">
      <c r="A861" s="417"/>
      <c r="B861" s="417"/>
      <c r="C861" s="417"/>
      <c r="D861" s="417"/>
      <c r="E861" s="417"/>
      <c r="F861" s="417"/>
      <c r="G861" s="417"/>
      <c r="H861" s="417"/>
      <c r="I861" s="417"/>
      <c r="J861" s="417"/>
      <c r="K861" s="417"/>
      <c r="L861" s="417"/>
      <c r="M861" s="417"/>
      <c r="N861" s="417"/>
      <c r="O861" s="417"/>
      <c r="P861" s="417"/>
      <c r="Q861" s="417"/>
      <c r="R861" s="417"/>
      <c r="S861" s="417"/>
      <c r="T861" s="417"/>
      <c r="U861" s="417"/>
      <c r="V861" s="417"/>
      <c r="W861" s="417"/>
      <c r="X861" s="417"/>
      <c r="Y861" s="417"/>
      <c r="Z861" s="417"/>
    </row>
    <row r="862" spans="1:26" ht="15.75">
      <c r="A862" s="417"/>
      <c r="B862" s="417"/>
      <c r="C862" s="417"/>
      <c r="D862" s="417"/>
      <c r="E862" s="417"/>
      <c r="F862" s="417"/>
      <c r="G862" s="417"/>
      <c r="H862" s="417"/>
      <c r="I862" s="417"/>
      <c r="J862" s="417"/>
      <c r="K862" s="417"/>
      <c r="L862" s="417"/>
      <c r="M862" s="417"/>
      <c r="N862" s="417"/>
      <c r="O862" s="417"/>
      <c r="P862" s="417"/>
      <c r="Q862" s="417"/>
      <c r="R862" s="417"/>
      <c r="S862" s="417"/>
      <c r="T862" s="417"/>
      <c r="U862" s="417"/>
      <c r="V862" s="417"/>
      <c r="W862" s="417"/>
      <c r="X862" s="417"/>
      <c r="Y862" s="417"/>
      <c r="Z862" s="417"/>
    </row>
    <row r="863" spans="1:26" ht="15.75">
      <c r="A863" s="417"/>
      <c r="B863" s="417"/>
      <c r="C863" s="417"/>
      <c r="D863" s="417"/>
      <c r="E863" s="417"/>
      <c r="F863" s="417"/>
      <c r="G863" s="417"/>
      <c r="H863" s="417"/>
      <c r="I863" s="417"/>
      <c r="J863" s="417"/>
      <c r="K863" s="417"/>
      <c r="L863" s="417"/>
      <c r="M863" s="417"/>
      <c r="N863" s="417"/>
      <c r="O863" s="417"/>
      <c r="P863" s="417"/>
      <c r="Q863" s="417"/>
      <c r="R863" s="417"/>
      <c r="S863" s="417"/>
      <c r="T863" s="417"/>
      <c r="U863" s="417"/>
      <c r="V863" s="417"/>
      <c r="W863" s="417"/>
      <c r="X863" s="417"/>
      <c r="Y863" s="417"/>
      <c r="Z863" s="417"/>
    </row>
    <row r="864" spans="1:26" ht="15.75">
      <c r="A864" s="417"/>
      <c r="B864" s="417"/>
      <c r="C864" s="417"/>
      <c r="D864" s="417"/>
      <c r="E864" s="417"/>
      <c r="F864" s="417"/>
      <c r="G864" s="417"/>
      <c r="H864" s="417"/>
      <c r="I864" s="417"/>
      <c r="J864" s="417"/>
      <c r="K864" s="417"/>
      <c r="L864" s="417"/>
      <c r="M864" s="417"/>
      <c r="N864" s="417"/>
      <c r="O864" s="417"/>
      <c r="P864" s="417"/>
      <c r="Q864" s="417"/>
      <c r="R864" s="417"/>
      <c r="S864" s="417"/>
      <c r="T864" s="417"/>
      <c r="U864" s="417"/>
      <c r="V864" s="417"/>
      <c r="W864" s="417"/>
      <c r="X864" s="417"/>
      <c r="Y864" s="417"/>
      <c r="Z864" s="417"/>
    </row>
    <row r="865" spans="1:26" ht="15.75">
      <c r="A865" s="417"/>
      <c r="B865" s="417"/>
      <c r="C865" s="417"/>
      <c r="D865" s="417"/>
      <c r="E865" s="417"/>
      <c r="F865" s="417"/>
      <c r="G865" s="417"/>
      <c r="H865" s="417"/>
      <c r="I865" s="417"/>
      <c r="J865" s="417"/>
      <c r="K865" s="417"/>
      <c r="L865" s="417"/>
      <c r="M865" s="417"/>
      <c r="N865" s="417"/>
      <c r="O865" s="417"/>
      <c r="P865" s="417"/>
      <c r="Q865" s="417"/>
      <c r="R865" s="417"/>
      <c r="S865" s="417"/>
      <c r="T865" s="417"/>
      <c r="U865" s="417"/>
      <c r="V865" s="417"/>
      <c r="W865" s="417"/>
      <c r="X865" s="417"/>
      <c r="Y865" s="417"/>
      <c r="Z865" s="417"/>
    </row>
    <row r="866" spans="1:26" ht="15.75">
      <c r="A866" s="417"/>
      <c r="B866" s="417"/>
      <c r="C866" s="417"/>
      <c r="D866" s="417"/>
      <c r="E866" s="417"/>
      <c r="F866" s="417"/>
      <c r="G866" s="417"/>
      <c r="H866" s="417"/>
      <c r="I866" s="417"/>
      <c r="J866" s="417"/>
      <c r="K866" s="417"/>
      <c r="L866" s="417"/>
      <c r="M866" s="417"/>
      <c r="N866" s="417"/>
      <c r="O866" s="417"/>
      <c r="P866" s="417"/>
      <c r="Q866" s="417"/>
      <c r="R866" s="417"/>
      <c r="S866" s="417"/>
      <c r="T866" s="417"/>
      <c r="U866" s="417"/>
      <c r="V866" s="417"/>
      <c r="W866" s="417"/>
      <c r="X866" s="417"/>
      <c r="Y866" s="417"/>
      <c r="Z866" s="417"/>
    </row>
    <row r="867" spans="1:26" ht="15.75">
      <c r="A867" s="417"/>
      <c r="B867" s="417"/>
      <c r="C867" s="417"/>
      <c r="D867" s="417"/>
      <c r="E867" s="417"/>
      <c r="F867" s="417"/>
      <c r="G867" s="417"/>
      <c r="H867" s="417"/>
      <c r="I867" s="417"/>
      <c r="J867" s="417"/>
      <c r="K867" s="417"/>
      <c r="L867" s="417"/>
      <c r="M867" s="417"/>
      <c r="N867" s="417"/>
      <c r="O867" s="417"/>
      <c r="P867" s="417"/>
      <c r="Q867" s="417"/>
      <c r="R867" s="417"/>
      <c r="S867" s="417"/>
      <c r="T867" s="417"/>
      <c r="U867" s="417"/>
      <c r="V867" s="417"/>
      <c r="W867" s="417"/>
      <c r="X867" s="417"/>
      <c r="Y867" s="417"/>
      <c r="Z867" s="417"/>
    </row>
    <row r="868" spans="1:26" ht="15.75">
      <c r="A868" s="417"/>
      <c r="B868" s="417"/>
      <c r="C868" s="417"/>
      <c r="D868" s="417"/>
      <c r="E868" s="417"/>
      <c r="F868" s="417"/>
      <c r="G868" s="417"/>
      <c r="H868" s="417"/>
      <c r="I868" s="417"/>
      <c r="J868" s="417"/>
      <c r="K868" s="417"/>
      <c r="L868" s="417"/>
      <c r="M868" s="417"/>
      <c r="N868" s="417"/>
      <c r="O868" s="417"/>
      <c r="P868" s="417"/>
      <c r="Q868" s="417"/>
      <c r="R868" s="417"/>
      <c r="S868" s="417"/>
      <c r="T868" s="417"/>
      <c r="U868" s="417"/>
      <c r="V868" s="417"/>
      <c r="W868" s="417"/>
      <c r="X868" s="417"/>
      <c r="Y868" s="417"/>
      <c r="Z868" s="417"/>
    </row>
    <row r="869" spans="1:26" ht="15.75">
      <c r="A869" s="417"/>
      <c r="B869" s="417"/>
      <c r="C869" s="417"/>
      <c r="D869" s="417"/>
      <c r="E869" s="417"/>
      <c r="F869" s="417"/>
      <c r="G869" s="417"/>
      <c r="H869" s="417"/>
      <c r="I869" s="417"/>
      <c r="J869" s="417"/>
      <c r="K869" s="417"/>
      <c r="L869" s="417"/>
      <c r="M869" s="417"/>
      <c r="N869" s="417"/>
      <c r="O869" s="417"/>
      <c r="P869" s="417"/>
      <c r="Q869" s="417"/>
      <c r="R869" s="417"/>
      <c r="S869" s="417"/>
      <c r="T869" s="417"/>
      <c r="U869" s="417"/>
      <c r="V869" s="417"/>
      <c r="W869" s="417"/>
      <c r="X869" s="417"/>
      <c r="Y869" s="417"/>
      <c r="Z869" s="417"/>
    </row>
    <row r="870" spans="1:26" ht="15.75">
      <c r="A870" s="417"/>
      <c r="B870" s="417"/>
      <c r="C870" s="417"/>
      <c r="D870" s="417"/>
      <c r="E870" s="417"/>
      <c r="F870" s="417"/>
      <c r="G870" s="417"/>
      <c r="H870" s="417"/>
      <c r="I870" s="417"/>
      <c r="J870" s="417"/>
      <c r="K870" s="417"/>
      <c r="L870" s="417"/>
      <c r="M870" s="417"/>
      <c r="N870" s="417"/>
      <c r="O870" s="417"/>
      <c r="P870" s="417"/>
      <c r="Q870" s="417"/>
      <c r="R870" s="417"/>
      <c r="S870" s="417"/>
      <c r="T870" s="417"/>
      <c r="U870" s="417"/>
      <c r="V870" s="417"/>
      <c r="W870" s="417"/>
      <c r="X870" s="417"/>
      <c r="Y870" s="417"/>
      <c r="Z870" s="417"/>
    </row>
    <row r="871" spans="1:26" ht="15.75">
      <c r="A871" s="417"/>
      <c r="B871" s="417"/>
      <c r="C871" s="417"/>
      <c r="D871" s="417"/>
      <c r="E871" s="417"/>
      <c r="F871" s="417"/>
      <c r="G871" s="417"/>
      <c r="H871" s="417"/>
      <c r="I871" s="417"/>
      <c r="J871" s="417"/>
      <c r="K871" s="417"/>
      <c r="L871" s="417"/>
      <c r="M871" s="417"/>
      <c r="N871" s="417"/>
      <c r="O871" s="417"/>
      <c r="P871" s="417"/>
      <c r="Q871" s="417"/>
      <c r="R871" s="417"/>
      <c r="S871" s="417"/>
      <c r="T871" s="417"/>
      <c r="U871" s="417"/>
      <c r="V871" s="417"/>
      <c r="W871" s="417"/>
      <c r="X871" s="417"/>
      <c r="Y871" s="417"/>
      <c r="Z871" s="417"/>
    </row>
    <row r="872" spans="1:26" ht="15.75">
      <c r="A872" s="417"/>
      <c r="B872" s="417"/>
      <c r="C872" s="417"/>
      <c r="D872" s="417"/>
      <c r="E872" s="417"/>
      <c r="F872" s="417"/>
      <c r="G872" s="417"/>
      <c r="H872" s="417"/>
      <c r="I872" s="417"/>
      <c r="J872" s="417"/>
      <c r="K872" s="417"/>
      <c r="L872" s="417"/>
      <c r="M872" s="417"/>
      <c r="N872" s="417"/>
      <c r="O872" s="417"/>
      <c r="P872" s="417"/>
      <c r="Q872" s="417"/>
      <c r="R872" s="417"/>
      <c r="S872" s="417"/>
      <c r="T872" s="417"/>
      <c r="U872" s="417"/>
      <c r="V872" s="417"/>
      <c r="W872" s="417"/>
      <c r="X872" s="417"/>
      <c r="Y872" s="417"/>
      <c r="Z872" s="417"/>
    </row>
    <row r="873" spans="1:26" ht="15.75">
      <c r="A873" s="417"/>
      <c r="B873" s="417"/>
      <c r="C873" s="417"/>
      <c r="D873" s="417"/>
      <c r="E873" s="417"/>
      <c r="F873" s="417"/>
      <c r="G873" s="417"/>
      <c r="H873" s="417"/>
      <c r="I873" s="417"/>
      <c r="J873" s="417"/>
      <c r="K873" s="417"/>
      <c r="L873" s="417"/>
      <c r="M873" s="417"/>
      <c r="N873" s="417"/>
      <c r="O873" s="417"/>
      <c r="P873" s="417"/>
      <c r="Q873" s="417"/>
      <c r="R873" s="417"/>
      <c r="S873" s="417"/>
      <c r="T873" s="417"/>
      <c r="U873" s="417"/>
      <c r="V873" s="417"/>
      <c r="W873" s="417"/>
      <c r="X873" s="417"/>
      <c r="Y873" s="417"/>
      <c r="Z873" s="417"/>
    </row>
    <row r="874" spans="1:26" ht="15.75">
      <c r="A874" s="417"/>
      <c r="B874" s="417"/>
      <c r="C874" s="417"/>
      <c r="D874" s="417"/>
      <c r="E874" s="417"/>
      <c r="F874" s="417"/>
      <c r="G874" s="417"/>
      <c r="H874" s="417"/>
      <c r="I874" s="417"/>
      <c r="J874" s="417"/>
      <c r="K874" s="417"/>
      <c r="L874" s="417"/>
      <c r="M874" s="417"/>
      <c r="N874" s="417"/>
      <c r="O874" s="417"/>
      <c r="P874" s="417"/>
      <c r="Q874" s="417"/>
      <c r="R874" s="417"/>
      <c r="S874" s="417"/>
      <c r="T874" s="417"/>
      <c r="U874" s="417"/>
      <c r="V874" s="417"/>
      <c r="W874" s="417"/>
      <c r="X874" s="417"/>
      <c r="Y874" s="417"/>
      <c r="Z874" s="417"/>
    </row>
    <row r="875" spans="1:26" ht="15.75">
      <c r="A875" s="417"/>
      <c r="B875" s="417"/>
      <c r="C875" s="417"/>
      <c r="D875" s="417"/>
      <c r="E875" s="417"/>
      <c r="F875" s="417"/>
      <c r="G875" s="417"/>
      <c r="H875" s="417"/>
      <c r="I875" s="417"/>
      <c r="J875" s="417"/>
      <c r="K875" s="417"/>
      <c r="L875" s="417"/>
      <c r="M875" s="417"/>
      <c r="N875" s="417"/>
      <c r="O875" s="417"/>
      <c r="P875" s="417"/>
      <c r="Q875" s="417"/>
      <c r="R875" s="417"/>
      <c r="S875" s="417"/>
      <c r="T875" s="417"/>
      <c r="U875" s="417"/>
      <c r="V875" s="417"/>
      <c r="W875" s="417"/>
      <c r="X875" s="417"/>
      <c r="Y875" s="417"/>
      <c r="Z875" s="417"/>
    </row>
    <row r="876" spans="1:26" ht="15.75">
      <c r="A876" s="417"/>
      <c r="B876" s="417"/>
      <c r="C876" s="417"/>
      <c r="D876" s="417"/>
      <c r="E876" s="417"/>
      <c r="F876" s="417"/>
      <c r="G876" s="417"/>
      <c r="H876" s="417"/>
      <c r="I876" s="417"/>
      <c r="J876" s="417"/>
      <c r="K876" s="417"/>
      <c r="L876" s="417"/>
      <c r="M876" s="417"/>
      <c r="N876" s="417"/>
      <c r="O876" s="417"/>
      <c r="P876" s="417"/>
      <c r="Q876" s="417"/>
      <c r="R876" s="417"/>
      <c r="S876" s="417"/>
      <c r="T876" s="417"/>
      <c r="U876" s="417"/>
      <c r="V876" s="417"/>
      <c r="W876" s="417"/>
      <c r="X876" s="417"/>
      <c r="Y876" s="417"/>
      <c r="Z876" s="417"/>
    </row>
    <row r="877" spans="1:26" ht="15.75">
      <c r="A877" s="417"/>
      <c r="B877" s="417"/>
      <c r="C877" s="417"/>
      <c r="D877" s="417"/>
      <c r="E877" s="417"/>
      <c r="F877" s="417"/>
      <c r="G877" s="417"/>
      <c r="H877" s="417"/>
      <c r="I877" s="417"/>
      <c r="J877" s="417"/>
      <c r="K877" s="417"/>
      <c r="L877" s="417"/>
      <c r="M877" s="417"/>
      <c r="N877" s="417"/>
      <c r="O877" s="417"/>
      <c r="P877" s="417"/>
      <c r="Q877" s="417"/>
      <c r="R877" s="417"/>
      <c r="S877" s="417"/>
      <c r="T877" s="417"/>
      <c r="U877" s="417"/>
      <c r="V877" s="417"/>
      <c r="W877" s="417"/>
      <c r="X877" s="417"/>
      <c r="Y877" s="417"/>
      <c r="Z877" s="417"/>
    </row>
    <row r="878" spans="1:26" ht="15.75">
      <c r="A878" s="417"/>
      <c r="B878" s="417"/>
      <c r="C878" s="417"/>
      <c r="D878" s="417"/>
      <c r="E878" s="417"/>
      <c r="F878" s="417"/>
      <c r="G878" s="417"/>
      <c r="H878" s="417"/>
      <c r="I878" s="417"/>
      <c r="J878" s="417"/>
      <c r="K878" s="417"/>
      <c r="L878" s="417"/>
      <c r="M878" s="417"/>
      <c r="N878" s="417"/>
      <c r="O878" s="417"/>
      <c r="P878" s="417"/>
      <c r="Q878" s="417"/>
      <c r="R878" s="417"/>
      <c r="S878" s="417"/>
      <c r="T878" s="417"/>
      <c r="U878" s="417"/>
      <c r="V878" s="417"/>
      <c r="W878" s="417"/>
      <c r="X878" s="417"/>
      <c r="Y878" s="417"/>
      <c r="Z878" s="417"/>
    </row>
    <row r="879" spans="1:26" ht="15.75">
      <c r="A879" s="417"/>
      <c r="B879" s="417"/>
      <c r="C879" s="417"/>
      <c r="D879" s="417"/>
      <c r="E879" s="417"/>
      <c r="F879" s="417"/>
      <c r="G879" s="417"/>
      <c r="H879" s="417"/>
      <c r="I879" s="417"/>
      <c r="J879" s="417"/>
      <c r="K879" s="417"/>
      <c r="L879" s="417"/>
      <c r="M879" s="417"/>
      <c r="N879" s="417"/>
      <c r="O879" s="417"/>
      <c r="P879" s="417"/>
      <c r="Q879" s="417"/>
      <c r="R879" s="417"/>
      <c r="S879" s="417"/>
      <c r="T879" s="417"/>
      <c r="U879" s="417"/>
      <c r="V879" s="417"/>
      <c r="W879" s="417"/>
      <c r="X879" s="417"/>
      <c r="Y879" s="417"/>
      <c r="Z879" s="417"/>
    </row>
    <row r="880" spans="1:26" ht="15.75">
      <c r="A880" s="417"/>
      <c r="B880" s="417"/>
      <c r="C880" s="417"/>
      <c r="D880" s="417"/>
      <c r="E880" s="417"/>
      <c r="F880" s="417"/>
      <c r="G880" s="417"/>
      <c r="H880" s="417"/>
      <c r="I880" s="417"/>
      <c r="J880" s="417"/>
      <c r="K880" s="417"/>
      <c r="L880" s="417"/>
      <c r="M880" s="417"/>
      <c r="N880" s="417"/>
      <c r="O880" s="417"/>
      <c r="P880" s="417"/>
      <c r="Q880" s="417"/>
      <c r="R880" s="417"/>
      <c r="S880" s="417"/>
      <c r="T880" s="417"/>
      <c r="U880" s="417"/>
      <c r="V880" s="417"/>
      <c r="W880" s="417"/>
      <c r="X880" s="417"/>
      <c r="Y880" s="417"/>
      <c r="Z880" s="417"/>
    </row>
    <row r="881" spans="1:26" ht="15.75">
      <c r="A881" s="417"/>
      <c r="B881" s="417"/>
      <c r="C881" s="417"/>
      <c r="D881" s="417"/>
      <c r="E881" s="417"/>
      <c r="F881" s="417"/>
      <c r="G881" s="417"/>
      <c r="H881" s="417"/>
      <c r="I881" s="417"/>
      <c r="J881" s="417"/>
      <c r="K881" s="417"/>
      <c r="L881" s="417"/>
      <c r="M881" s="417"/>
      <c r="N881" s="417"/>
      <c r="O881" s="417"/>
      <c r="P881" s="417"/>
      <c r="Q881" s="417"/>
      <c r="R881" s="417"/>
      <c r="S881" s="417"/>
      <c r="T881" s="417"/>
      <c r="U881" s="417"/>
      <c r="V881" s="417"/>
      <c r="W881" s="417"/>
      <c r="X881" s="417"/>
      <c r="Y881" s="417"/>
      <c r="Z881" s="417"/>
    </row>
    <row r="882" spans="1:26" ht="15.75">
      <c r="A882" s="417"/>
      <c r="B882" s="417"/>
      <c r="C882" s="417"/>
      <c r="D882" s="417"/>
      <c r="E882" s="417"/>
      <c r="F882" s="417"/>
      <c r="G882" s="417"/>
      <c r="H882" s="417"/>
      <c r="I882" s="417"/>
      <c r="J882" s="417"/>
      <c r="K882" s="417"/>
      <c r="L882" s="417"/>
      <c r="M882" s="417"/>
      <c r="N882" s="417"/>
      <c r="O882" s="417"/>
      <c r="P882" s="417"/>
      <c r="Q882" s="417"/>
      <c r="R882" s="417"/>
      <c r="S882" s="417"/>
      <c r="T882" s="417"/>
      <c r="U882" s="417"/>
      <c r="V882" s="417"/>
      <c r="W882" s="417"/>
      <c r="X882" s="417"/>
      <c r="Y882" s="417"/>
      <c r="Z882" s="417"/>
    </row>
    <row r="883" spans="1:26" ht="15.75">
      <c r="A883" s="417"/>
      <c r="B883" s="417"/>
      <c r="C883" s="417"/>
      <c r="D883" s="417"/>
      <c r="E883" s="417"/>
      <c r="F883" s="417"/>
      <c r="G883" s="417"/>
      <c r="H883" s="417"/>
      <c r="I883" s="417"/>
      <c r="J883" s="417"/>
      <c r="K883" s="417"/>
      <c r="L883" s="417"/>
      <c r="M883" s="417"/>
      <c r="N883" s="417"/>
      <c r="O883" s="417"/>
      <c r="P883" s="417"/>
      <c r="Q883" s="417"/>
      <c r="R883" s="417"/>
      <c r="S883" s="417"/>
      <c r="T883" s="417"/>
      <c r="U883" s="417"/>
      <c r="V883" s="417"/>
      <c r="W883" s="417"/>
      <c r="X883" s="417"/>
      <c r="Y883" s="417"/>
      <c r="Z883" s="417"/>
    </row>
    <row r="884" spans="1:26" ht="15.75">
      <c r="A884" s="417"/>
      <c r="B884" s="417"/>
      <c r="C884" s="417"/>
      <c r="D884" s="417"/>
      <c r="E884" s="417"/>
      <c r="F884" s="417"/>
      <c r="G884" s="417"/>
      <c r="H884" s="417"/>
      <c r="I884" s="417"/>
      <c r="J884" s="417"/>
      <c r="K884" s="417"/>
      <c r="L884" s="417"/>
      <c r="M884" s="417"/>
      <c r="N884" s="417"/>
      <c r="O884" s="417"/>
      <c r="P884" s="417"/>
      <c r="Q884" s="417"/>
      <c r="R884" s="417"/>
      <c r="S884" s="417"/>
      <c r="T884" s="417"/>
      <c r="U884" s="417"/>
      <c r="V884" s="417"/>
      <c r="W884" s="417"/>
      <c r="X884" s="417"/>
      <c r="Y884" s="417"/>
      <c r="Z884" s="417"/>
    </row>
    <row r="885" spans="1:26" ht="15.75">
      <c r="A885" s="417"/>
      <c r="B885" s="417"/>
      <c r="C885" s="417"/>
      <c r="D885" s="417"/>
      <c r="E885" s="417"/>
      <c r="F885" s="417"/>
      <c r="G885" s="417"/>
      <c r="H885" s="417"/>
      <c r="I885" s="417"/>
      <c r="J885" s="417"/>
      <c r="K885" s="417"/>
      <c r="L885" s="417"/>
      <c r="M885" s="417"/>
      <c r="N885" s="417"/>
      <c r="O885" s="417"/>
      <c r="P885" s="417"/>
      <c r="Q885" s="417"/>
      <c r="R885" s="417"/>
      <c r="S885" s="417"/>
      <c r="T885" s="417"/>
      <c r="U885" s="417"/>
      <c r="V885" s="417"/>
      <c r="W885" s="417"/>
      <c r="X885" s="417"/>
      <c r="Y885" s="417"/>
      <c r="Z885" s="417"/>
    </row>
    <row r="886" spans="1:26" ht="15.75">
      <c r="A886" s="417"/>
      <c r="B886" s="417"/>
      <c r="C886" s="417"/>
      <c r="D886" s="417"/>
      <c r="E886" s="417"/>
      <c r="F886" s="417"/>
      <c r="G886" s="417"/>
      <c r="H886" s="417"/>
      <c r="I886" s="417"/>
      <c r="J886" s="417"/>
      <c r="K886" s="417"/>
      <c r="L886" s="417"/>
      <c r="M886" s="417"/>
      <c r="N886" s="417"/>
      <c r="O886" s="417"/>
      <c r="P886" s="417"/>
      <c r="Q886" s="417"/>
      <c r="R886" s="417"/>
      <c r="S886" s="417"/>
      <c r="T886" s="417"/>
      <c r="U886" s="417"/>
      <c r="V886" s="417"/>
      <c r="W886" s="417"/>
      <c r="X886" s="417"/>
      <c r="Y886" s="417"/>
      <c r="Z886" s="417"/>
    </row>
    <row r="887" spans="1:26" ht="15.75">
      <c r="A887" s="417"/>
      <c r="B887" s="417"/>
      <c r="C887" s="417"/>
      <c r="D887" s="417"/>
      <c r="E887" s="417"/>
      <c r="F887" s="417"/>
      <c r="G887" s="417"/>
      <c r="H887" s="417"/>
      <c r="I887" s="417"/>
      <c r="J887" s="417"/>
      <c r="K887" s="417"/>
      <c r="L887" s="417"/>
      <c r="M887" s="417"/>
      <c r="N887" s="417"/>
      <c r="O887" s="417"/>
      <c r="P887" s="417"/>
      <c r="Q887" s="417"/>
      <c r="R887" s="417"/>
      <c r="S887" s="417"/>
      <c r="T887" s="417"/>
      <c r="U887" s="417"/>
      <c r="V887" s="417"/>
      <c r="W887" s="417"/>
      <c r="X887" s="417"/>
      <c r="Y887" s="417"/>
      <c r="Z887" s="417"/>
    </row>
    <row r="888" spans="1:26" ht="15.75">
      <c r="A888" s="417"/>
      <c r="B888" s="417"/>
      <c r="C888" s="417"/>
      <c r="D888" s="417"/>
      <c r="E888" s="417"/>
      <c r="F888" s="417"/>
      <c r="G888" s="417"/>
      <c r="H888" s="417"/>
      <c r="I888" s="417"/>
      <c r="J888" s="417"/>
      <c r="K888" s="417"/>
      <c r="L888" s="417"/>
      <c r="M888" s="417"/>
      <c r="N888" s="417"/>
      <c r="O888" s="417"/>
      <c r="P888" s="417"/>
      <c r="Q888" s="417"/>
      <c r="R888" s="417"/>
      <c r="S888" s="417"/>
      <c r="T888" s="417"/>
      <c r="U888" s="417"/>
      <c r="V888" s="417"/>
      <c r="W888" s="417"/>
      <c r="X888" s="417"/>
      <c r="Y888" s="417"/>
      <c r="Z888" s="417"/>
    </row>
    <row r="889" spans="1:26" ht="15.75">
      <c r="A889" s="417"/>
      <c r="B889" s="417"/>
      <c r="C889" s="417"/>
      <c r="D889" s="417"/>
      <c r="E889" s="417"/>
      <c r="F889" s="417"/>
      <c r="G889" s="417"/>
      <c r="H889" s="417"/>
      <c r="I889" s="417"/>
      <c r="J889" s="417"/>
      <c r="K889" s="417"/>
      <c r="L889" s="417"/>
      <c r="M889" s="417"/>
      <c r="N889" s="417"/>
      <c r="O889" s="417"/>
      <c r="P889" s="417"/>
      <c r="Q889" s="417"/>
      <c r="R889" s="417"/>
      <c r="S889" s="417"/>
      <c r="T889" s="417"/>
      <c r="U889" s="417"/>
      <c r="V889" s="417"/>
      <c r="W889" s="417"/>
      <c r="X889" s="417"/>
      <c r="Y889" s="417"/>
      <c r="Z889" s="417"/>
    </row>
    <row r="890" spans="1:26" ht="15.75">
      <c r="A890" s="417"/>
      <c r="B890" s="417"/>
      <c r="C890" s="417"/>
      <c r="D890" s="417"/>
      <c r="E890" s="417"/>
      <c r="F890" s="417"/>
      <c r="G890" s="417"/>
      <c r="H890" s="417"/>
      <c r="I890" s="417"/>
      <c r="J890" s="417"/>
      <c r="K890" s="417"/>
      <c r="L890" s="417"/>
      <c r="M890" s="417"/>
      <c r="N890" s="417"/>
      <c r="O890" s="417"/>
      <c r="P890" s="417"/>
      <c r="Q890" s="417"/>
      <c r="R890" s="417"/>
      <c r="S890" s="417"/>
      <c r="T890" s="417"/>
      <c r="U890" s="417"/>
      <c r="V890" s="417"/>
      <c r="W890" s="417"/>
      <c r="X890" s="417"/>
      <c r="Y890" s="417"/>
      <c r="Z890" s="417"/>
    </row>
    <row r="891" spans="1:26" ht="15.75">
      <c r="A891" s="417"/>
      <c r="B891" s="417"/>
      <c r="C891" s="417"/>
      <c r="D891" s="417"/>
      <c r="E891" s="417"/>
      <c r="F891" s="417"/>
      <c r="G891" s="417"/>
      <c r="H891" s="417"/>
      <c r="I891" s="417"/>
      <c r="J891" s="417"/>
      <c r="K891" s="417"/>
      <c r="L891" s="417"/>
      <c r="M891" s="417"/>
      <c r="N891" s="417"/>
      <c r="O891" s="417"/>
      <c r="P891" s="417"/>
      <c r="Q891" s="417"/>
      <c r="R891" s="417"/>
      <c r="S891" s="417"/>
      <c r="T891" s="417"/>
      <c r="U891" s="417"/>
      <c r="V891" s="417"/>
      <c r="W891" s="417"/>
      <c r="X891" s="417"/>
      <c r="Y891" s="417"/>
      <c r="Z891" s="417"/>
    </row>
    <row r="892" spans="1:26" ht="15.75">
      <c r="A892" s="417"/>
      <c r="B892" s="417"/>
      <c r="C892" s="417"/>
      <c r="D892" s="417"/>
      <c r="E892" s="417"/>
      <c r="F892" s="417"/>
      <c r="G892" s="417"/>
      <c r="H892" s="417"/>
      <c r="I892" s="417"/>
      <c r="J892" s="417"/>
      <c r="K892" s="417"/>
      <c r="L892" s="417"/>
      <c r="M892" s="417"/>
      <c r="N892" s="417"/>
      <c r="O892" s="417"/>
      <c r="P892" s="417"/>
      <c r="Q892" s="417"/>
      <c r="R892" s="417"/>
      <c r="S892" s="417"/>
      <c r="T892" s="417"/>
      <c r="U892" s="417"/>
      <c r="V892" s="417"/>
      <c r="W892" s="417"/>
      <c r="X892" s="417"/>
      <c r="Y892" s="417"/>
      <c r="Z892" s="417"/>
    </row>
    <row r="893" spans="1:26" ht="15.75">
      <c r="A893" s="417"/>
      <c r="B893" s="417"/>
      <c r="C893" s="417"/>
      <c r="D893" s="417"/>
      <c r="E893" s="417"/>
      <c r="F893" s="417"/>
      <c r="G893" s="417"/>
      <c r="H893" s="417"/>
      <c r="I893" s="417"/>
      <c r="J893" s="417"/>
      <c r="K893" s="417"/>
      <c r="L893" s="417"/>
      <c r="M893" s="417"/>
      <c r="N893" s="417"/>
      <c r="O893" s="417"/>
      <c r="P893" s="417"/>
      <c r="Q893" s="417"/>
      <c r="R893" s="417"/>
      <c r="S893" s="417"/>
      <c r="T893" s="417"/>
      <c r="U893" s="417"/>
      <c r="V893" s="417"/>
      <c r="W893" s="417"/>
      <c r="X893" s="417"/>
      <c r="Y893" s="417"/>
      <c r="Z893" s="417"/>
    </row>
    <row r="894" spans="1:26" ht="15.75">
      <c r="A894" s="417"/>
      <c r="B894" s="417"/>
      <c r="C894" s="417"/>
      <c r="D894" s="417"/>
      <c r="E894" s="417"/>
      <c r="F894" s="417"/>
      <c r="G894" s="417"/>
      <c r="H894" s="417"/>
      <c r="I894" s="417"/>
      <c r="J894" s="417"/>
      <c r="K894" s="417"/>
      <c r="L894" s="417"/>
      <c r="M894" s="417"/>
      <c r="N894" s="417"/>
      <c r="O894" s="417"/>
      <c r="P894" s="417"/>
      <c r="Q894" s="417"/>
      <c r="R894" s="417"/>
      <c r="S894" s="417"/>
      <c r="T894" s="417"/>
      <c r="U894" s="417"/>
      <c r="V894" s="417"/>
      <c r="W894" s="417"/>
      <c r="X894" s="417"/>
      <c r="Y894" s="417"/>
      <c r="Z894" s="417"/>
    </row>
    <row r="895" spans="1:26" ht="15.75">
      <c r="A895" s="417"/>
      <c r="B895" s="417"/>
      <c r="C895" s="417"/>
      <c r="D895" s="417"/>
      <c r="E895" s="417"/>
      <c r="F895" s="417"/>
      <c r="G895" s="417"/>
      <c r="H895" s="417"/>
      <c r="I895" s="417"/>
      <c r="J895" s="417"/>
      <c r="K895" s="417"/>
      <c r="L895" s="417"/>
      <c r="M895" s="417"/>
      <c r="N895" s="417"/>
      <c r="O895" s="417"/>
      <c r="P895" s="417"/>
      <c r="Q895" s="417"/>
      <c r="R895" s="417"/>
      <c r="S895" s="417"/>
      <c r="T895" s="417"/>
      <c r="U895" s="417"/>
      <c r="V895" s="417"/>
      <c r="W895" s="417"/>
      <c r="X895" s="417"/>
      <c r="Y895" s="417"/>
      <c r="Z895" s="417"/>
    </row>
    <row r="896" spans="1:26" ht="15.75">
      <c r="A896" s="417"/>
      <c r="B896" s="417"/>
      <c r="C896" s="417"/>
      <c r="D896" s="417"/>
      <c r="E896" s="417"/>
      <c r="F896" s="417"/>
      <c r="G896" s="417"/>
      <c r="H896" s="417"/>
      <c r="I896" s="417"/>
      <c r="J896" s="417"/>
      <c r="K896" s="417"/>
      <c r="L896" s="417"/>
      <c r="M896" s="417"/>
      <c r="N896" s="417"/>
      <c r="O896" s="417"/>
      <c r="P896" s="417"/>
      <c r="Q896" s="417"/>
      <c r="R896" s="417"/>
      <c r="S896" s="417"/>
      <c r="T896" s="417"/>
      <c r="U896" s="417"/>
      <c r="V896" s="417"/>
      <c r="W896" s="417"/>
      <c r="X896" s="417"/>
      <c r="Y896" s="417"/>
      <c r="Z896" s="417"/>
    </row>
    <row r="897" spans="1:26" ht="15.75">
      <c r="A897" s="417"/>
      <c r="B897" s="417"/>
      <c r="C897" s="417"/>
      <c r="D897" s="417"/>
      <c r="E897" s="417"/>
      <c r="F897" s="417"/>
      <c r="G897" s="417"/>
      <c r="H897" s="417"/>
      <c r="I897" s="417"/>
      <c r="J897" s="417"/>
      <c r="K897" s="417"/>
      <c r="L897" s="417"/>
      <c r="M897" s="417"/>
      <c r="N897" s="417"/>
      <c r="O897" s="417"/>
      <c r="P897" s="417"/>
      <c r="Q897" s="417"/>
      <c r="R897" s="417"/>
      <c r="S897" s="417"/>
      <c r="T897" s="417"/>
      <c r="U897" s="417"/>
      <c r="V897" s="417"/>
      <c r="W897" s="417"/>
      <c r="X897" s="417"/>
      <c r="Y897" s="417"/>
      <c r="Z897" s="417"/>
    </row>
    <row r="898" spans="1:26" ht="15.75">
      <c r="A898" s="417"/>
      <c r="B898" s="417"/>
      <c r="C898" s="417"/>
      <c r="D898" s="417"/>
      <c r="E898" s="417"/>
      <c r="F898" s="417"/>
      <c r="G898" s="417"/>
      <c r="H898" s="417"/>
      <c r="I898" s="417"/>
      <c r="J898" s="417"/>
      <c r="K898" s="417"/>
      <c r="L898" s="417"/>
      <c r="M898" s="417"/>
      <c r="N898" s="417"/>
      <c r="O898" s="417"/>
      <c r="P898" s="417"/>
      <c r="Q898" s="417"/>
      <c r="R898" s="417"/>
      <c r="S898" s="417"/>
      <c r="T898" s="417"/>
      <c r="U898" s="417"/>
      <c r="V898" s="417"/>
      <c r="W898" s="417"/>
      <c r="X898" s="417"/>
      <c r="Y898" s="417"/>
      <c r="Z898" s="417"/>
    </row>
    <row r="899" spans="1:26" ht="15.75">
      <c r="A899" s="417"/>
      <c r="B899" s="417"/>
      <c r="C899" s="417"/>
      <c r="D899" s="417"/>
      <c r="E899" s="417"/>
      <c r="F899" s="417"/>
      <c r="G899" s="417"/>
      <c r="H899" s="417"/>
      <c r="I899" s="417"/>
      <c r="J899" s="417"/>
      <c r="K899" s="417"/>
      <c r="L899" s="417"/>
      <c r="M899" s="417"/>
      <c r="N899" s="417"/>
      <c r="O899" s="417"/>
      <c r="P899" s="417"/>
      <c r="Q899" s="417"/>
      <c r="R899" s="417"/>
      <c r="S899" s="417"/>
      <c r="T899" s="417"/>
      <c r="U899" s="417"/>
      <c r="V899" s="417"/>
      <c r="W899" s="417"/>
      <c r="X899" s="417"/>
      <c r="Y899" s="417"/>
      <c r="Z899" s="417"/>
    </row>
    <row r="900" spans="1:26" ht="15.75">
      <c r="A900" s="417"/>
      <c r="B900" s="417"/>
      <c r="C900" s="417"/>
      <c r="D900" s="417"/>
      <c r="E900" s="417"/>
      <c r="F900" s="417"/>
      <c r="G900" s="417"/>
      <c r="H900" s="417"/>
      <c r="I900" s="417"/>
      <c r="J900" s="417"/>
      <c r="K900" s="417"/>
      <c r="L900" s="417"/>
      <c r="M900" s="417"/>
      <c r="N900" s="417"/>
      <c r="O900" s="417"/>
      <c r="P900" s="417"/>
      <c r="Q900" s="417"/>
      <c r="R900" s="417"/>
      <c r="S900" s="417"/>
      <c r="T900" s="417"/>
      <c r="U900" s="417"/>
      <c r="V900" s="417"/>
      <c r="W900" s="417"/>
      <c r="X900" s="417"/>
      <c r="Y900" s="417"/>
      <c r="Z900" s="417"/>
    </row>
    <row r="901" spans="1:26" ht="15.75">
      <c r="A901" s="417"/>
      <c r="B901" s="417"/>
      <c r="C901" s="417"/>
      <c r="D901" s="417"/>
      <c r="E901" s="417"/>
      <c r="F901" s="417"/>
      <c r="G901" s="417"/>
      <c r="H901" s="417"/>
      <c r="I901" s="417"/>
      <c r="J901" s="417"/>
      <c r="K901" s="417"/>
      <c r="L901" s="417"/>
      <c r="M901" s="417"/>
      <c r="N901" s="417"/>
      <c r="O901" s="417"/>
      <c r="P901" s="417"/>
      <c r="Q901" s="417"/>
      <c r="R901" s="417"/>
      <c r="S901" s="417"/>
      <c r="T901" s="417"/>
      <c r="U901" s="417"/>
      <c r="V901" s="417"/>
      <c r="W901" s="417"/>
      <c r="X901" s="417"/>
      <c r="Y901" s="417"/>
      <c r="Z901" s="417"/>
    </row>
    <row r="902" spans="1:26" ht="15.75">
      <c r="A902" s="417"/>
      <c r="B902" s="417"/>
      <c r="C902" s="417"/>
      <c r="D902" s="417"/>
      <c r="E902" s="417"/>
      <c r="F902" s="417"/>
      <c r="G902" s="417"/>
      <c r="H902" s="417"/>
      <c r="I902" s="417"/>
      <c r="J902" s="417"/>
      <c r="K902" s="417"/>
      <c r="L902" s="417"/>
      <c r="M902" s="417"/>
      <c r="N902" s="417"/>
      <c r="O902" s="417"/>
      <c r="P902" s="417"/>
      <c r="Q902" s="417"/>
      <c r="R902" s="417"/>
      <c r="S902" s="417"/>
      <c r="T902" s="417"/>
      <c r="U902" s="417"/>
      <c r="V902" s="417"/>
      <c r="W902" s="417"/>
      <c r="X902" s="417"/>
      <c r="Y902" s="417"/>
      <c r="Z902" s="417"/>
    </row>
    <row r="903" spans="1:26" ht="15.75">
      <c r="A903" s="417"/>
      <c r="B903" s="417"/>
      <c r="C903" s="417"/>
      <c r="D903" s="417"/>
      <c r="E903" s="417"/>
      <c r="F903" s="417"/>
      <c r="G903" s="417"/>
      <c r="H903" s="417"/>
      <c r="I903" s="417"/>
      <c r="J903" s="417"/>
      <c r="K903" s="417"/>
      <c r="L903" s="417"/>
      <c r="M903" s="417"/>
      <c r="N903" s="417"/>
      <c r="O903" s="417"/>
      <c r="P903" s="417"/>
      <c r="Q903" s="417"/>
      <c r="R903" s="417"/>
      <c r="S903" s="417"/>
      <c r="T903" s="417"/>
      <c r="U903" s="417"/>
      <c r="V903" s="417"/>
      <c r="W903" s="417"/>
      <c r="X903" s="417"/>
      <c r="Y903" s="417"/>
      <c r="Z903" s="417"/>
    </row>
    <row r="904" spans="1:26" ht="15.75">
      <c r="A904" s="417"/>
      <c r="B904" s="417"/>
      <c r="C904" s="417"/>
      <c r="D904" s="417"/>
      <c r="E904" s="417"/>
      <c r="F904" s="417"/>
      <c r="G904" s="417"/>
      <c r="H904" s="417"/>
      <c r="I904" s="417"/>
      <c r="J904" s="417"/>
      <c r="K904" s="417"/>
      <c r="L904" s="417"/>
      <c r="M904" s="417"/>
      <c r="N904" s="417"/>
      <c r="O904" s="417"/>
      <c r="P904" s="417"/>
      <c r="Q904" s="417"/>
      <c r="R904" s="417"/>
      <c r="S904" s="417"/>
      <c r="T904" s="417"/>
      <c r="U904" s="417"/>
      <c r="V904" s="417"/>
      <c r="W904" s="417"/>
      <c r="X904" s="417"/>
      <c r="Y904" s="417"/>
      <c r="Z904" s="417"/>
    </row>
    <row r="905" spans="1:26" ht="15.75">
      <c r="A905" s="417"/>
      <c r="B905" s="417"/>
      <c r="C905" s="417"/>
      <c r="D905" s="417"/>
      <c r="E905" s="417"/>
      <c r="F905" s="417"/>
      <c r="G905" s="417"/>
      <c r="H905" s="417"/>
      <c r="I905" s="417"/>
      <c r="J905" s="417"/>
      <c r="K905" s="417"/>
      <c r="L905" s="417"/>
      <c r="M905" s="417"/>
      <c r="N905" s="417"/>
      <c r="O905" s="417"/>
      <c r="P905" s="417"/>
      <c r="Q905" s="417"/>
      <c r="R905" s="417"/>
      <c r="S905" s="417"/>
      <c r="T905" s="417"/>
      <c r="U905" s="417"/>
      <c r="V905" s="417"/>
      <c r="W905" s="417"/>
      <c r="X905" s="417"/>
      <c r="Y905" s="417"/>
      <c r="Z905" s="417"/>
    </row>
    <row r="906" spans="1:26" ht="15.75">
      <c r="A906" s="417"/>
      <c r="B906" s="417"/>
      <c r="C906" s="417"/>
      <c r="D906" s="417"/>
      <c r="E906" s="417"/>
      <c r="F906" s="417"/>
      <c r="G906" s="417"/>
      <c r="H906" s="417"/>
      <c r="I906" s="417"/>
      <c r="J906" s="417"/>
      <c r="K906" s="417"/>
      <c r="L906" s="417"/>
      <c r="M906" s="417"/>
      <c r="N906" s="417"/>
      <c r="O906" s="417"/>
      <c r="P906" s="417"/>
      <c r="Q906" s="417"/>
      <c r="R906" s="417"/>
      <c r="S906" s="417"/>
      <c r="T906" s="417"/>
      <c r="U906" s="417"/>
      <c r="V906" s="417"/>
      <c r="W906" s="417"/>
      <c r="X906" s="417"/>
      <c r="Y906" s="417"/>
      <c r="Z906" s="417"/>
    </row>
    <row r="907" spans="1:26" ht="15.75">
      <c r="A907" s="417"/>
      <c r="B907" s="417"/>
      <c r="C907" s="417"/>
      <c r="D907" s="417"/>
      <c r="E907" s="417"/>
      <c r="F907" s="417"/>
      <c r="G907" s="417"/>
      <c r="H907" s="417"/>
      <c r="I907" s="417"/>
      <c r="J907" s="417"/>
      <c r="K907" s="417"/>
      <c r="L907" s="417"/>
      <c r="M907" s="417"/>
      <c r="N907" s="417"/>
      <c r="O907" s="417"/>
      <c r="P907" s="417"/>
      <c r="Q907" s="417"/>
      <c r="R907" s="417"/>
      <c r="S907" s="417"/>
      <c r="T907" s="417"/>
      <c r="U907" s="417"/>
      <c r="V907" s="417"/>
      <c r="W907" s="417"/>
      <c r="X907" s="417"/>
      <c r="Y907" s="417"/>
      <c r="Z907" s="417"/>
    </row>
    <row r="908" spans="1:26" ht="15.75">
      <c r="A908" s="417"/>
      <c r="B908" s="417"/>
      <c r="C908" s="417"/>
      <c r="D908" s="417"/>
      <c r="E908" s="417"/>
      <c r="F908" s="417"/>
      <c r="G908" s="417"/>
      <c r="H908" s="417"/>
      <c r="I908" s="417"/>
      <c r="J908" s="417"/>
      <c r="K908" s="417"/>
      <c r="L908" s="417"/>
      <c r="M908" s="417"/>
      <c r="N908" s="417"/>
      <c r="O908" s="417"/>
      <c r="P908" s="417"/>
      <c r="Q908" s="417"/>
      <c r="R908" s="417"/>
      <c r="S908" s="417"/>
      <c r="T908" s="417"/>
      <c r="U908" s="417"/>
      <c r="V908" s="417"/>
      <c r="W908" s="417"/>
      <c r="X908" s="417"/>
      <c r="Y908" s="417"/>
      <c r="Z908" s="417"/>
    </row>
    <row r="909" spans="1:26" ht="15.75">
      <c r="A909" s="417"/>
      <c r="B909" s="417"/>
      <c r="C909" s="417"/>
      <c r="D909" s="417"/>
      <c r="E909" s="417"/>
      <c r="F909" s="417"/>
      <c r="G909" s="417"/>
      <c r="H909" s="417"/>
      <c r="I909" s="417"/>
      <c r="J909" s="417"/>
      <c r="K909" s="417"/>
      <c r="L909" s="417"/>
      <c r="M909" s="417"/>
      <c r="N909" s="417"/>
      <c r="O909" s="417"/>
      <c r="P909" s="417"/>
      <c r="Q909" s="417"/>
      <c r="R909" s="417"/>
      <c r="S909" s="417"/>
      <c r="T909" s="417"/>
      <c r="U909" s="417"/>
      <c r="V909" s="417"/>
      <c r="W909" s="417"/>
      <c r="X909" s="417"/>
      <c r="Y909" s="417"/>
      <c r="Z909" s="417"/>
    </row>
    <row r="910" spans="1:26" ht="15.75">
      <c r="A910" s="417"/>
      <c r="B910" s="417"/>
      <c r="C910" s="417"/>
      <c r="D910" s="417"/>
      <c r="E910" s="417"/>
      <c r="F910" s="417"/>
      <c r="G910" s="417"/>
      <c r="H910" s="417"/>
      <c r="I910" s="417"/>
      <c r="J910" s="417"/>
      <c r="K910" s="417"/>
      <c r="L910" s="417"/>
      <c r="M910" s="417"/>
      <c r="N910" s="417"/>
      <c r="O910" s="417"/>
      <c r="P910" s="417"/>
      <c r="Q910" s="417"/>
      <c r="R910" s="417"/>
      <c r="S910" s="417"/>
      <c r="T910" s="417"/>
      <c r="U910" s="417"/>
      <c r="V910" s="417"/>
      <c r="W910" s="417"/>
      <c r="X910" s="417"/>
      <c r="Y910" s="417"/>
      <c r="Z910" s="417"/>
    </row>
    <row r="911" spans="1:26" ht="15.75">
      <c r="A911" s="417"/>
      <c r="B911" s="417"/>
      <c r="C911" s="417"/>
      <c r="D911" s="417"/>
      <c r="E911" s="417"/>
      <c r="F911" s="417"/>
      <c r="G911" s="417"/>
      <c r="H911" s="417"/>
      <c r="I911" s="417"/>
      <c r="J911" s="417"/>
      <c r="K911" s="417"/>
      <c r="L911" s="417"/>
      <c r="M911" s="417"/>
      <c r="N911" s="417"/>
      <c r="O911" s="417"/>
      <c r="P911" s="417"/>
      <c r="Q911" s="417"/>
      <c r="R911" s="417"/>
      <c r="S911" s="417"/>
      <c r="T911" s="417"/>
      <c r="U911" s="417"/>
      <c r="V911" s="417"/>
      <c r="W911" s="417"/>
      <c r="X911" s="417"/>
      <c r="Y911" s="417"/>
      <c r="Z911" s="417"/>
    </row>
    <row r="912" spans="1:26" ht="15.75">
      <c r="A912" s="417"/>
      <c r="B912" s="417"/>
      <c r="C912" s="417"/>
      <c r="D912" s="417"/>
      <c r="E912" s="417"/>
      <c r="F912" s="417"/>
      <c r="G912" s="417"/>
      <c r="H912" s="417"/>
      <c r="I912" s="417"/>
      <c r="J912" s="417"/>
      <c r="K912" s="417"/>
      <c r="L912" s="417"/>
      <c r="M912" s="417"/>
      <c r="N912" s="417"/>
      <c r="O912" s="417"/>
      <c r="P912" s="417"/>
      <c r="Q912" s="417"/>
      <c r="R912" s="417"/>
      <c r="S912" s="417"/>
      <c r="T912" s="417"/>
      <c r="U912" s="417"/>
      <c r="V912" s="417"/>
      <c r="W912" s="417"/>
      <c r="X912" s="417"/>
      <c r="Y912" s="417"/>
      <c r="Z912" s="417"/>
    </row>
    <row r="913" spans="1:26" ht="15.75">
      <c r="A913" s="417"/>
      <c r="B913" s="417"/>
      <c r="C913" s="417"/>
      <c r="D913" s="417"/>
      <c r="E913" s="417"/>
      <c r="F913" s="417"/>
      <c r="G913" s="417"/>
      <c r="H913" s="417"/>
      <c r="I913" s="417"/>
      <c r="J913" s="417"/>
      <c r="K913" s="417"/>
      <c r="L913" s="417"/>
      <c r="M913" s="417"/>
      <c r="N913" s="417"/>
      <c r="O913" s="417"/>
      <c r="P913" s="417"/>
      <c r="Q913" s="417"/>
      <c r="R913" s="417"/>
      <c r="S913" s="417"/>
      <c r="T913" s="417"/>
      <c r="U913" s="417"/>
      <c r="V913" s="417"/>
      <c r="W913" s="417"/>
      <c r="X913" s="417"/>
      <c r="Y913" s="417"/>
      <c r="Z913" s="417"/>
    </row>
    <row r="914" spans="1:26" ht="15.75">
      <c r="A914" s="417"/>
      <c r="B914" s="417"/>
      <c r="C914" s="417"/>
      <c r="D914" s="417"/>
      <c r="E914" s="417"/>
      <c r="F914" s="417"/>
      <c r="G914" s="417"/>
      <c r="H914" s="417"/>
      <c r="I914" s="417"/>
      <c r="J914" s="417"/>
      <c r="K914" s="417"/>
      <c r="L914" s="417"/>
      <c r="M914" s="417"/>
      <c r="N914" s="417"/>
      <c r="O914" s="417"/>
      <c r="P914" s="417"/>
      <c r="Q914" s="417"/>
      <c r="R914" s="417"/>
      <c r="S914" s="417"/>
      <c r="T914" s="417"/>
      <c r="U914" s="417"/>
      <c r="V914" s="417"/>
      <c r="W914" s="417"/>
      <c r="X914" s="417"/>
      <c r="Y914" s="417"/>
      <c r="Z914" s="417"/>
    </row>
    <row r="915" spans="1:26" ht="15.75">
      <c r="A915" s="417"/>
      <c r="B915" s="417"/>
      <c r="C915" s="417"/>
      <c r="D915" s="417"/>
      <c r="E915" s="417"/>
      <c r="F915" s="417"/>
      <c r="G915" s="417"/>
      <c r="H915" s="417"/>
      <c r="I915" s="417"/>
      <c r="J915" s="417"/>
      <c r="K915" s="417"/>
      <c r="L915" s="417"/>
      <c r="M915" s="417"/>
      <c r="N915" s="417"/>
      <c r="O915" s="417"/>
      <c r="P915" s="417"/>
      <c r="Q915" s="417"/>
      <c r="R915" s="417"/>
      <c r="S915" s="417"/>
      <c r="T915" s="417"/>
      <c r="U915" s="417"/>
      <c r="V915" s="417"/>
      <c r="W915" s="417"/>
      <c r="X915" s="417"/>
      <c r="Y915" s="417"/>
      <c r="Z915" s="417"/>
    </row>
    <row r="916" spans="1:26" ht="15.75">
      <c r="A916" s="417"/>
      <c r="B916" s="417"/>
      <c r="C916" s="417"/>
      <c r="D916" s="417"/>
      <c r="E916" s="417"/>
      <c r="F916" s="417"/>
      <c r="G916" s="417"/>
      <c r="H916" s="417"/>
      <c r="I916" s="417"/>
      <c r="J916" s="417"/>
      <c r="K916" s="417"/>
      <c r="L916" s="417"/>
      <c r="M916" s="417"/>
      <c r="N916" s="417"/>
      <c r="O916" s="417"/>
      <c r="P916" s="417"/>
      <c r="Q916" s="417"/>
      <c r="R916" s="417"/>
      <c r="S916" s="417"/>
      <c r="T916" s="417"/>
      <c r="U916" s="417"/>
      <c r="V916" s="417"/>
      <c r="W916" s="417"/>
      <c r="X916" s="417"/>
      <c r="Y916" s="417"/>
      <c r="Z916" s="417"/>
    </row>
    <row r="917" spans="1:26" ht="15.75">
      <c r="A917" s="417"/>
      <c r="B917" s="417"/>
      <c r="C917" s="417"/>
      <c r="D917" s="417"/>
      <c r="E917" s="417"/>
      <c r="F917" s="417"/>
      <c r="G917" s="417"/>
      <c r="H917" s="417"/>
      <c r="I917" s="417"/>
      <c r="J917" s="417"/>
      <c r="K917" s="417"/>
      <c r="L917" s="417"/>
      <c r="M917" s="417"/>
      <c r="N917" s="417"/>
      <c r="O917" s="417"/>
      <c r="P917" s="417"/>
      <c r="Q917" s="417"/>
      <c r="R917" s="417"/>
      <c r="S917" s="417"/>
      <c r="T917" s="417"/>
      <c r="U917" s="417"/>
      <c r="V917" s="417"/>
      <c r="W917" s="417"/>
      <c r="X917" s="417"/>
      <c r="Y917" s="417"/>
      <c r="Z917" s="417"/>
    </row>
    <row r="918" spans="1:26" ht="15.75">
      <c r="A918" s="417"/>
      <c r="B918" s="417"/>
      <c r="C918" s="417"/>
      <c r="D918" s="417"/>
      <c r="E918" s="417"/>
      <c r="F918" s="417"/>
      <c r="G918" s="417"/>
      <c r="H918" s="417"/>
      <c r="I918" s="417"/>
      <c r="J918" s="417"/>
      <c r="K918" s="417"/>
      <c r="L918" s="417"/>
      <c r="M918" s="417"/>
      <c r="N918" s="417"/>
      <c r="O918" s="417"/>
      <c r="P918" s="417"/>
      <c r="Q918" s="417"/>
      <c r="R918" s="417"/>
      <c r="S918" s="417"/>
      <c r="T918" s="417"/>
      <c r="U918" s="417"/>
      <c r="V918" s="417"/>
      <c r="W918" s="417"/>
      <c r="X918" s="417"/>
      <c r="Y918" s="417"/>
      <c r="Z918" s="417"/>
    </row>
    <row r="919" spans="1:26" ht="15.75">
      <c r="A919" s="417"/>
      <c r="B919" s="417"/>
      <c r="C919" s="417"/>
      <c r="D919" s="417"/>
      <c r="E919" s="417"/>
      <c r="F919" s="417"/>
      <c r="G919" s="417"/>
      <c r="H919" s="417"/>
      <c r="I919" s="417"/>
      <c r="J919" s="417"/>
      <c r="K919" s="417"/>
      <c r="L919" s="417"/>
      <c r="M919" s="417"/>
      <c r="N919" s="417"/>
      <c r="O919" s="417"/>
      <c r="P919" s="417"/>
      <c r="Q919" s="417"/>
      <c r="R919" s="417"/>
      <c r="S919" s="417"/>
      <c r="T919" s="417"/>
      <c r="U919" s="417"/>
      <c r="V919" s="417"/>
      <c r="W919" s="417"/>
      <c r="X919" s="417"/>
      <c r="Y919" s="417"/>
      <c r="Z919" s="417"/>
    </row>
    <row r="920" spans="1:26" ht="15.75">
      <c r="A920" s="417"/>
      <c r="B920" s="417"/>
      <c r="C920" s="417"/>
      <c r="D920" s="417"/>
      <c r="E920" s="417"/>
      <c r="F920" s="417"/>
      <c r="G920" s="417"/>
      <c r="H920" s="417"/>
      <c r="I920" s="417"/>
      <c r="J920" s="417"/>
      <c r="K920" s="417"/>
      <c r="L920" s="417"/>
      <c r="M920" s="417"/>
      <c r="N920" s="417"/>
      <c r="O920" s="417"/>
      <c r="P920" s="417"/>
      <c r="Q920" s="417"/>
      <c r="R920" s="417"/>
      <c r="S920" s="417"/>
      <c r="T920" s="417"/>
      <c r="U920" s="417"/>
      <c r="V920" s="417"/>
      <c r="W920" s="417"/>
      <c r="X920" s="417"/>
      <c r="Y920" s="417"/>
      <c r="Z920" s="417"/>
    </row>
    <row r="921" spans="1:26" ht="15.75">
      <c r="A921" s="417"/>
      <c r="B921" s="417"/>
      <c r="C921" s="417"/>
      <c r="D921" s="417"/>
      <c r="E921" s="417"/>
      <c r="F921" s="417"/>
      <c r="G921" s="417"/>
      <c r="H921" s="417"/>
      <c r="I921" s="417"/>
      <c r="J921" s="417"/>
      <c r="K921" s="417"/>
      <c r="L921" s="417"/>
      <c r="M921" s="417"/>
      <c r="N921" s="417"/>
      <c r="O921" s="417"/>
      <c r="P921" s="417"/>
      <c r="Q921" s="417"/>
      <c r="R921" s="417"/>
      <c r="S921" s="417"/>
      <c r="T921" s="417"/>
      <c r="U921" s="417"/>
      <c r="V921" s="417"/>
      <c r="W921" s="417"/>
      <c r="X921" s="417"/>
      <c r="Y921" s="417"/>
      <c r="Z921" s="417"/>
    </row>
    <row r="922" spans="1:26" ht="15.75">
      <c r="A922" s="417"/>
      <c r="B922" s="417"/>
      <c r="C922" s="417"/>
      <c r="D922" s="417"/>
      <c r="E922" s="417"/>
      <c r="F922" s="417"/>
      <c r="G922" s="417"/>
      <c r="H922" s="417"/>
      <c r="I922" s="417"/>
      <c r="J922" s="417"/>
      <c r="K922" s="417"/>
      <c r="L922" s="417"/>
      <c r="M922" s="417"/>
      <c r="N922" s="417"/>
      <c r="O922" s="417"/>
      <c r="P922" s="417"/>
      <c r="Q922" s="417"/>
      <c r="R922" s="417"/>
      <c r="S922" s="417"/>
      <c r="T922" s="417"/>
      <c r="U922" s="417"/>
      <c r="V922" s="417"/>
      <c r="W922" s="417"/>
      <c r="X922" s="417"/>
      <c r="Y922" s="417"/>
      <c r="Z922" s="417"/>
    </row>
    <row r="923" spans="1:26" ht="15.75">
      <c r="A923" s="417"/>
      <c r="B923" s="417"/>
      <c r="C923" s="417"/>
      <c r="D923" s="417"/>
      <c r="E923" s="417"/>
      <c r="F923" s="417"/>
      <c r="G923" s="417"/>
      <c r="H923" s="417"/>
      <c r="I923" s="417"/>
      <c r="J923" s="417"/>
      <c r="K923" s="417"/>
      <c r="L923" s="417"/>
      <c r="M923" s="417"/>
      <c r="N923" s="417"/>
      <c r="O923" s="417"/>
      <c r="P923" s="417"/>
      <c r="Q923" s="417"/>
      <c r="R923" s="417"/>
      <c r="S923" s="417"/>
      <c r="T923" s="417"/>
      <c r="U923" s="417"/>
      <c r="V923" s="417"/>
      <c r="W923" s="417"/>
      <c r="X923" s="417"/>
      <c r="Y923" s="417"/>
      <c r="Z923" s="417"/>
    </row>
    <row r="924" spans="1:26" ht="15.75">
      <c r="A924" s="417"/>
      <c r="B924" s="417"/>
      <c r="C924" s="417"/>
      <c r="D924" s="417"/>
      <c r="E924" s="417"/>
      <c r="F924" s="417"/>
      <c r="G924" s="417"/>
      <c r="H924" s="417"/>
      <c r="I924" s="417"/>
      <c r="J924" s="417"/>
      <c r="K924" s="417"/>
      <c r="L924" s="417"/>
      <c r="M924" s="417"/>
      <c r="N924" s="417"/>
      <c r="O924" s="417"/>
      <c r="P924" s="417"/>
      <c r="Q924" s="417"/>
      <c r="R924" s="417"/>
      <c r="S924" s="417"/>
      <c r="T924" s="417"/>
      <c r="U924" s="417"/>
      <c r="V924" s="417"/>
      <c r="W924" s="417"/>
      <c r="X924" s="417"/>
      <c r="Y924" s="417"/>
      <c r="Z924" s="417"/>
    </row>
    <row r="925" spans="1:26" ht="15.75">
      <c r="A925" s="417"/>
      <c r="B925" s="417"/>
      <c r="C925" s="417"/>
      <c r="D925" s="417"/>
      <c r="E925" s="417"/>
      <c r="F925" s="417"/>
      <c r="G925" s="417"/>
      <c r="H925" s="417"/>
      <c r="I925" s="417"/>
      <c r="J925" s="417"/>
      <c r="K925" s="417"/>
      <c r="L925" s="417"/>
      <c r="M925" s="417"/>
      <c r="N925" s="417"/>
      <c r="O925" s="417"/>
      <c r="P925" s="417"/>
      <c r="Q925" s="417"/>
      <c r="R925" s="417"/>
      <c r="S925" s="417"/>
      <c r="T925" s="417"/>
      <c r="U925" s="417"/>
      <c r="V925" s="417"/>
      <c r="W925" s="417"/>
      <c r="X925" s="417"/>
      <c r="Y925" s="417"/>
      <c r="Z925" s="417"/>
    </row>
    <row r="926" spans="1:26" ht="15.75">
      <c r="A926" s="417"/>
      <c r="B926" s="417"/>
      <c r="C926" s="417"/>
      <c r="D926" s="417"/>
      <c r="E926" s="417"/>
      <c r="F926" s="417"/>
      <c r="G926" s="417"/>
      <c r="H926" s="417"/>
      <c r="I926" s="417"/>
      <c r="J926" s="417"/>
      <c r="K926" s="417"/>
      <c r="L926" s="417"/>
      <c r="M926" s="417"/>
      <c r="N926" s="417"/>
      <c r="O926" s="417"/>
      <c r="P926" s="417"/>
      <c r="Q926" s="417"/>
      <c r="R926" s="417"/>
      <c r="S926" s="417"/>
      <c r="T926" s="417"/>
      <c r="U926" s="417"/>
      <c r="V926" s="417"/>
      <c r="W926" s="417"/>
      <c r="X926" s="417"/>
      <c r="Y926" s="417"/>
      <c r="Z926" s="417"/>
    </row>
    <row r="927" spans="1:26" ht="15.75">
      <c r="A927" s="417"/>
      <c r="B927" s="417"/>
      <c r="C927" s="417"/>
      <c r="D927" s="417"/>
      <c r="E927" s="417"/>
      <c r="F927" s="417"/>
      <c r="G927" s="417"/>
      <c r="H927" s="417"/>
      <c r="I927" s="417"/>
      <c r="J927" s="417"/>
      <c r="K927" s="417"/>
      <c r="L927" s="417"/>
      <c r="M927" s="417"/>
      <c r="N927" s="417"/>
      <c r="O927" s="417"/>
      <c r="P927" s="417"/>
      <c r="Q927" s="417"/>
      <c r="R927" s="417"/>
      <c r="S927" s="417"/>
      <c r="T927" s="417"/>
      <c r="U927" s="417"/>
      <c r="V927" s="417"/>
      <c r="W927" s="417"/>
      <c r="X927" s="417"/>
      <c r="Y927" s="417"/>
      <c r="Z927" s="417"/>
    </row>
    <row r="928" spans="1:26" ht="15.75">
      <c r="A928" s="417"/>
      <c r="B928" s="417"/>
      <c r="C928" s="417"/>
      <c r="D928" s="417"/>
      <c r="E928" s="417"/>
      <c r="F928" s="417"/>
      <c r="G928" s="417"/>
      <c r="H928" s="417"/>
      <c r="I928" s="417"/>
      <c r="J928" s="417"/>
      <c r="K928" s="417"/>
      <c r="L928" s="417"/>
      <c r="M928" s="417"/>
      <c r="N928" s="417"/>
      <c r="O928" s="417"/>
      <c r="P928" s="417"/>
      <c r="Q928" s="417"/>
      <c r="R928" s="417"/>
      <c r="S928" s="417"/>
      <c r="T928" s="417"/>
      <c r="U928" s="417"/>
      <c r="V928" s="417"/>
      <c r="W928" s="417"/>
      <c r="X928" s="417"/>
      <c r="Y928" s="417"/>
      <c r="Z928" s="417"/>
    </row>
    <row r="929" spans="1:26" ht="15.75">
      <c r="A929" s="417"/>
      <c r="B929" s="417"/>
      <c r="C929" s="417"/>
      <c r="D929" s="417"/>
      <c r="E929" s="417"/>
      <c r="F929" s="417"/>
      <c r="G929" s="417"/>
      <c r="H929" s="417"/>
      <c r="I929" s="417"/>
      <c r="J929" s="417"/>
      <c r="K929" s="417"/>
      <c r="L929" s="417"/>
      <c r="M929" s="417"/>
      <c r="N929" s="417"/>
      <c r="O929" s="417"/>
      <c r="P929" s="417"/>
      <c r="Q929" s="417"/>
      <c r="R929" s="417"/>
      <c r="S929" s="417"/>
      <c r="T929" s="417"/>
      <c r="U929" s="417"/>
      <c r="V929" s="417"/>
      <c r="W929" s="417"/>
      <c r="X929" s="417"/>
      <c r="Y929" s="417"/>
      <c r="Z929" s="417"/>
    </row>
    <row r="930" spans="1:26" ht="15.75">
      <c r="A930" s="417"/>
      <c r="B930" s="417"/>
      <c r="C930" s="417"/>
      <c r="D930" s="417"/>
      <c r="E930" s="417"/>
      <c r="F930" s="417"/>
      <c r="G930" s="417"/>
      <c r="H930" s="417"/>
      <c r="I930" s="417"/>
      <c r="J930" s="417"/>
      <c r="K930" s="417"/>
      <c r="L930" s="417"/>
      <c r="M930" s="417"/>
      <c r="N930" s="417"/>
      <c r="O930" s="417"/>
      <c r="P930" s="417"/>
      <c r="Q930" s="417"/>
      <c r="R930" s="417"/>
      <c r="S930" s="417"/>
      <c r="T930" s="417"/>
      <c r="U930" s="417"/>
      <c r="V930" s="417"/>
      <c r="W930" s="417"/>
      <c r="X930" s="417"/>
      <c r="Y930" s="417"/>
      <c r="Z930" s="417"/>
    </row>
    <row r="931" spans="1:26" ht="15.75">
      <c r="A931" s="417"/>
      <c r="B931" s="417"/>
      <c r="C931" s="417"/>
      <c r="D931" s="417"/>
      <c r="E931" s="417"/>
      <c r="F931" s="417"/>
      <c r="G931" s="417"/>
      <c r="H931" s="417"/>
      <c r="I931" s="417"/>
      <c r="J931" s="417"/>
      <c r="K931" s="417"/>
      <c r="L931" s="417"/>
      <c r="M931" s="417"/>
      <c r="N931" s="417"/>
      <c r="O931" s="417"/>
      <c r="P931" s="417"/>
      <c r="Q931" s="417"/>
      <c r="R931" s="417"/>
      <c r="S931" s="417"/>
      <c r="T931" s="417"/>
      <c r="U931" s="417"/>
      <c r="V931" s="417"/>
      <c r="W931" s="417"/>
      <c r="X931" s="417"/>
      <c r="Y931" s="417"/>
      <c r="Z931" s="417"/>
    </row>
    <row r="932" spans="1:26" ht="15.75">
      <c r="A932" s="417"/>
      <c r="B932" s="417"/>
      <c r="C932" s="417"/>
      <c r="D932" s="417"/>
      <c r="E932" s="417"/>
      <c r="F932" s="417"/>
      <c r="G932" s="417"/>
      <c r="H932" s="417"/>
      <c r="I932" s="417"/>
      <c r="J932" s="417"/>
      <c r="K932" s="417"/>
      <c r="L932" s="417"/>
      <c r="M932" s="417"/>
      <c r="N932" s="417"/>
      <c r="O932" s="417"/>
      <c r="P932" s="417"/>
      <c r="Q932" s="417"/>
      <c r="R932" s="417"/>
      <c r="S932" s="417"/>
      <c r="T932" s="417"/>
      <c r="U932" s="417"/>
      <c r="V932" s="417"/>
      <c r="W932" s="417"/>
      <c r="X932" s="417"/>
      <c r="Y932" s="417"/>
      <c r="Z932" s="417"/>
    </row>
    <row r="933" spans="1:26" ht="15.75">
      <c r="A933" s="417"/>
      <c r="B933" s="417"/>
      <c r="C933" s="417"/>
      <c r="D933" s="417"/>
      <c r="E933" s="417"/>
      <c r="F933" s="417"/>
      <c r="G933" s="417"/>
      <c r="H933" s="417"/>
      <c r="I933" s="417"/>
      <c r="J933" s="417"/>
      <c r="K933" s="417"/>
      <c r="L933" s="417"/>
      <c r="M933" s="417"/>
      <c r="N933" s="417"/>
      <c r="O933" s="417"/>
      <c r="P933" s="417"/>
      <c r="Q933" s="417"/>
      <c r="R933" s="417"/>
      <c r="S933" s="417"/>
      <c r="T933" s="417"/>
      <c r="U933" s="417"/>
      <c r="V933" s="417"/>
      <c r="W933" s="417"/>
      <c r="X933" s="417"/>
      <c r="Y933" s="417"/>
      <c r="Z933" s="417"/>
    </row>
    <row r="934" spans="1:26" ht="15.75">
      <c r="A934" s="417"/>
      <c r="B934" s="417"/>
      <c r="C934" s="417"/>
      <c r="D934" s="417"/>
      <c r="E934" s="417"/>
      <c r="F934" s="417"/>
      <c r="G934" s="417"/>
      <c r="H934" s="417"/>
      <c r="I934" s="417"/>
      <c r="J934" s="417"/>
      <c r="K934" s="417"/>
      <c r="L934" s="417"/>
      <c r="M934" s="417"/>
      <c r="N934" s="417"/>
      <c r="O934" s="417"/>
      <c r="P934" s="417"/>
      <c r="Q934" s="417"/>
      <c r="R934" s="417"/>
      <c r="S934" s="417"/>
      <c r="T934" s="417"/>
      <c r="U934" s="417"/>
      <c r="V934" s="417"/>
      <c r="W934" s="417"/>
      <c r="X934" s="417"/>
      <c r="Y934" s="417"/>
      <c r="Z934" s="417"/>
    </row>
    <row r="935" spans="1:26" ht="15.75">
      <c r="A935" s="417"/>
      <c r="B935" s="417"/>
      <c r="C935" s="417"/>
      <c r="D935" s="417"/>
      <c r="E935" s="417"/>
      <c r="F935" s="417"/>
      <c r="G935" s="417"/>
      <c r="H935" s="417"/>
      <c r="I935" s="417"/>
      <c r="J935" s="417"/>
      <c r="K935" s="417"/>
      <c r="L935" s="417"/>
      <c r="M935" s="417"/>
      <c r="N935" s="417"/>
      <c r="O935" s="417"/>
      <c r="P935" s="417"/>
      <c r="Q935" s="417"/>
      <c r="R935" s="417"/>
      <c r="S935" s="417"/>
      <c r="T935" s="417"/>
      <c r="U935" s="417"/>
      <c r="V935" s="417"/>
      <c r="W935" s="417"/>
      <c r="X935" s="417"/>
      <c r="Y935" s="417"/>
      <c r="Z935" s="417"/>
    </row>
    <row r="936" spans="1:26" ht="15.75">
      <c r="A936" s="417"/>
      <c r="B936" s="417"/>
      <c r="C936" s="417"/>
      <c r="D936" s="417"/>
      <c r="E936" s="417"/>
      <c r="F936" s="417"/>
      <c r="G936" s="417"/>
      <c r="H936" s="417"/>
      <c r="I936" s="417"/>
      <c r="J936" s="417"/>
      <c r="K936" s="417"/>
      <c r="L936" s="417"/>
      <c r="M936" s="417"/>
      <c r="N936" s="417"/>
      <c r="O936" s="417"/>
      <c r="P936" s="417"/>
      <c r="Q936" s="417"/>
      <c r="R936" s="417"/>
      <c r="S936" s="417"/>
      <c r="T936" s="417"/>
      <c r="U936" s="417"/>
      <c r="V936" s="417"/>
      <c r="W936" s="417"/>
      <c r="X936" s="417"/>
      <c r="Y936" s="417"/>
      <c r="Z936" s="417"/>
    </row>
    <row r="937" spans="1:26" ht="15.75">
      <c r="A937" s="417"/>
      <c r="B937" s="417"/>
      <c r="C937" s="417"/>
      <c r="D937" s="417"/>
      <c r="E937" s="417"/>
      <c r="F937" s="417"/>
      <c r="G937" s="417"/>
      <c r="H937" s="417"/>
      <c r="I937" s="417"/>
      <c r="J937" s="417"/>
      <c r="K937" s="417"/>
      <c r="L937" s="417"/>
      <c r="M937" s="417"/>
      <c r="N937" s="417"/>
      <c r="O937" s="417"/>
      <c r="P937" s="417"/>
      <c r="Q937" s="417"/>
      <c r="R937" s="417"/>
      <c r="S937" s="417"/>
      <c r="T937" s="417"/>
      <c r="U937" s="417"/>
      <c r="V937" s="417"/>
      <c r="W937" s="417"/>
      <c r="X937" s="417"/>
      <c r="Y937" s="417"/>
      <c r="Z937" s="417"/>
    </row>
    <row r="938" spans="1:26" ht="15.75">
      <c r="A938" s="417"/>
      <c r="B938" s="417"/>
      <c r="C938" s="417"/>
      <c r="D938" s="417"/>
      <c r="E938" s="417"/>
      <c r="F938" s="417"/>
      <c r="G938" s="417"/>
      <c r="H938" s="417"/>
      <c r="I938" s="417"/>
      <c r="J938" s="417"/>
      <c r="K938" s="417"/>
      <c r="L938" s="417"/>
      <c r="M938" s="417"/>
      <c r="N938" s="417"/>
      <c r="O938" s="417"/>
      <c r="P938" s="417"/>
      <c r="Q938" s="417"/>
      <c r="R938" s="417"/>
      <c r="S938" s="417"/>
      <c r="T938" s="417"/>
      <c r="U938" s="417"/>
      <c r="V938" s="417"/>
      <c r="W938" s="417"/>
      <c r="X938" s="417"/>
      <c r="Y938" s="417"/>
      <c r="Z938" s="417"/>
    </row>
    <row r="939" spans="1:26" ht="15.75">
      <c r="A939" s="417"/>
      <c r="B939" s="417"/>
      <c r="C939" s="417"/>
      <c r="D939" s="417"/>
      <c r="E939" s="417"/>
      <c r="F939" s="417"/>
      <c r="G939" s="417"/>
      <c r="H939" s="417"/>
      <c r="I939" s="417"/>
      <c r="J939" s="417"/>
      <c r="K939" s="417"/>
      <c r="L939" s="417"/>
      <c r="M939" s="417"/>
      <c r="N939" s="417"/>
      <c r="O939" s="417"/>
      <c r="P939" s="417"/>
      <c r="Q939" s="417"/>
      <c r="R939" s="417"/>
      <c r="S939" s="417"/>
      <c r="T939" s="417"/>
      <c r="U939" s="417"/>
      <c r="V939" s="417"/>
      <c r="W939" s="417"/>
      <c r="X939" s="417"/>
      <c r="Y939" s="417"/>
      <c r="Z939" s="417"/>
    </row>
    <row r="940" spans="1:26" ht="15.75">
      <c r="A940" s="417"/>
      <c r="B940" s="417"/>
      <c r="C940" s="417"/>
      <c r="D940" s="417"/>
      <c r="E940" s="417"/>
      <c r="F940" s="417"/>
      <c r="G940" s="417"/>
      <c r="H940" s="417"/>
      <c r="I940" s="417"/>
      <c r="J940" s="417"/>
      <c r="K940" s="417"/>
      <c r="L940" s="417"/>
      <c r="M940" s="417"/>
      <c r="N940" s="417"/>
      <c r="O940" s="417"/>
      <c r="P940" s="417"/>
      <c r="Q940" s="417"/>
      <c r="R940" s="417"/>
      <c r="S940" s="417"/>
      <c r="T940" s="417"/>
      <c r="U940" s="417"/>
      <c r="V940" s="417"/>
      <c r="W940" s="417"/>
      <c r="X940" s="417"/>
      <c r="Y940" s="417"/>
      <c r="Z940" s="417"/>
    </row>
    <row r="941" spans="1:26" ht="15.75">
      <c r="A941" s="417"/>
      <c r="B941" s="417"/>
      <c r="C941" s="417"/>
      <c r="D941" s="417"/>
      <c r="E941" s="417"/>
      <c r="F941" s="417"/>
      <c r="G941" s="417"/>
      <c r="H941" s="417"/>
      <c r="I941" s="417"/>
      <c r="J941" s="417"/>
      <c r="K941" s="417"/>
      <c r="L941" s="417"/>
      <c r="M941" s="417"/>
      <c r="N941" s="417"/>
      <c r="O941" s="417"/>
      <c r="P941" s="417"/>
      <c r="Q941" s="417"/>
      <c r="R941" s="417"/>
      <c r="S941" s="417"/>
      <c r="T941" s="417"/>
      <c r="U941" s="417"/>
      <c r="V941" s="417"/>
      <c r="W941" s="417"/>
      <c r="X941" s="417"/>
      <c r="Y941" s="417"/>
      <c r="Z941" s="417"/>
    </row>
    <row r="942" spans="1:26" ht="15.75">
      <c r="A942" s="417"/>
      <c r="B942" s="417"/>
      <c r="C942" s="417"/>
      <c r="D942" s="417"/>
      <c r="E942" s="417"/>
      <c r="F942" s="417"/>
      <c r="G942" s="417"/>
      <c r="H942" s="417"/>
      <c r="I942" s="417"/>
      <c r="J942" s="417"/>
      <c r="K942" s="417"/>
      <c r="L942" s="417"/>
      <c r="M942" s="417"/>
      <c r="N942" s="417"/>
      <c r="O942" s="417"/>
      <c r="P942" s="417"/>
      <c r="Q942" s="417"/>
      <c r="R942" s="417"/>
      <c r="S942" s="417"/>
      <c r="T942" s="417"/>
      <c r="U942" s="417"/>
      <c r="V942" s="417"/>
      <c r="W942" s="417"/>
      <c r="X942" s="417"/>
      <c r="Y942" s="417"/>
      <c r="Z942" s="417"/>
    </row>
    <row r="943" spans="1:26" ht="15.75">
      <c r="A943" s="417"/>
      <c r="B943" s="417"/>
      <c r="C943" s="417"/>
      <c r="D943" s="417"/>
      <c r="E943" s="417"/>
      <c r="F943" s="417"/>
      <c r="G943" s="417"/>
      <c r="H943" s="417"/>
      <c r="I943" s="417"/>
      <c r="J943" s="417"/>
      <c r="K943" s="417"/>
      <c r="L943" s="417"/>
      <c r="M943" s="417"/>
      <c r="N943" s="417"/>
      <c r="O943" s="417"/>
      <c r="P943" s="417"/>
      <c r="Q943" s="417"/>
      <c r="R943" s="417"/>
      <c r="S943" s="417"/>
      <c r="T943" s="417"/>
      <c r="U943" s="417"/>
      <c r="V943" s="417"/>
      <c r="W943" s="417"/>
      <c r="X943" s="417"/>
      <c r="Y943" s="417"/>
      <c r="Z943" s="417"/>
    </row>
    <row r="944" spans="1:26" ht="15.75">
      <c r="A944" s="417"/>
      <c r="B944" s="417"/>
      <c r="C944" s="417"/>
      <c r="D944" s="417"/>
      <c r="E944" s="417"/>
      <c r="F944" s="417"/>
      <c r="G944" s="417"/>
      <c r="H944" s="417"/>
      <c r="I944" s="417"/>
      <c r="J944" s="417"/>
      <c r="K944" s="417"/>
      <c r="L944" s="417"/>
      <c r="M944" s="417"/>
      <c r="N944" s="417"/>
      <c r="O944" s="417"/>
      <c r="P944" s="417"/>
      <c r="Q944" s="417"/>
      <c r="R944" s="417"/>
      <c r="S944" s="417"/>
      <c r="T944" s="417"/>
      <c r="U944" s="417"/>
      <c r="V944" s="417"/>
      <c r="W944" s="417"/>
      <c r="X944" s="417"/>
      <c r="Y944" s="417"/>
      <c r="Z944" s="417"/>
    </row>
    <row r="945" spans="1:26" ht="15.75">
      <c r="A945" s="417"/>
      <c r="B945" s="417"/>
      <c r="C945" s="417"/>
      <c r="D945" s="417"/>
      <c r="E945" s="417"/>
      <c r="F945" s="417"/>
      <c r="G945" s="417"/>
      <c r="H945" s="417"/>
      <c r="I945" s="417"/>
      <c r="J945" s="417"/>
      <c r="K945" s="417"/>
      <c r="L945" s="417"/>
      <c r="M945" s="417"/>
      <c r="N945" s="417"/>
      <c r="O945" s="417"/>
      <c r="P945" s="417"/>
      <c r="Q945" s="417"/>
      <c r="R945" s="417"/>
      <c r="S945" s="417"/>
      <c r="T945" s="417"/>
      <c r="U945" s="417"/>
      <c r="V945" s="417"/>
      <c r="W945" s="417"/>
      <c r="X945" s="417"/>
      <c r="Y945" s="417"/>
      <c r="Z945" s="417"/>
    </row>
    <row r="946" spans="1:26" ht="15.75">
      <c r="A946" s="417"/>
      <c r="B946" s="417"/>
      <c r="C946" s="417"/>
      <c r="D946" s="417"/>
      <c r="E946" s="417"/>
      <c r="F946" s="417"/>
      <c r="G946" s="417"/>
      <c r="H946" s="417"/>
      <c r="I946" s="417"/>
      <c r="J946" s="417"/>
      <c r="K946" s="417"/>
      <c r="L946" s="417"/>
      <c r="M946" s="417"/>
      <c r="N946" s="417"/>
      <c r="O946" s="417"/>
      <c r="P946" s="417"/>
      <c r="Q946" s="417"/>
      <c r="R946" s="417"/>
      <c r="S946" s="417"/>
      <c r="T946" s="417"/>
      <c r="U946" s="417"/>
      <c r="V946" s="417"/>
      <c r="W946" s="417"/>
      <c r="X946" s="417"/>
      <c r="Y946" s="417"/>
      <c r="Z946" s="417"/>
    </row>
    <row r="947" spans="1:26" ht="15.75">
      <c r="A947" s="417"/>
      <c r="B947" s="417"/>
      <c r="C947" s="417"/>
      <c r="D947" s="417"/>
      <c r="E947" s="417"/>
      <c r="F947" s="417"/>
      <c r="G947" s="417"/>
      <c r="H947" s="417"/>
      <c r="I947" s="417"/>
      <c r="J947" s="417"/>
      <c r="K947" s="417"/>
      <c r="L947" s="417"/>
      <c r="M947" s="417"/>
      <c r="N947" s="417"/>
      <c r="O947" s="417"/>
      <c r="P947" s="417"/>
      <c r="Q947" s="417"/>
      <c r="R947" s="417"/>
      <c r="S947" s="417"/>
      <c r="T947" s="417"/>
      <c r="U947" s="417"/>
      <c r="V947" s="417"/>
      <c r="W947" s="417"/>
      <c r="X947" s="417"/>
      <c r="Y947" s="417"/>
      <c r="Z947" s="417"/>
    </row>
    <row r="948" spans="1:26" ht="15.75">
      <c r="A948" s="417"/>
      <c r="B948" s="417"/>
      <c r="C948" s="417"/>
      <c r="D948" s="417"/>
      <c r="E948" s="417"/>
      <c r="F948" s="417"/>
      <c r="G948" s="417"/>
      <c r="H948" s="417"/>
      <c r="I948" s="417"/>
      <c r="J948" s="417"/>
      <c r="K948" s="417"/>
      <c r="L948" s="417"/>
      <c r="M948" s="417"/>
      <c r="N948" s="417"/>
      <c r="O948" s="417"/>
      <c r="P948" s="417"/>
      <c r="Q948" s="417"/>
      <c r="R948" s="417"/>
      <c r="S948" s="417"/>
      <c r="T948" s="417"/>
      <c r="U948" s="417"/>
      <c r="V948" s="417"/>
      <c r="W948" s="417"/>
      <c r="X948" s="417"/>
      <c r="Y948" s="417"/>
      <c r="Z948" s="417"/>
    </row>
    <row r="949" spans="1:26" ht="15.75">
      <c r="A949" s="417"/>
      <c r="B949" s="417"/>
      <c r="C949" s="417"/>
      <c r="D949" s="417"/>
      <c r="E949" s="417"/>
      <c r="F949" s="417"/>
      <c r="G949" s="417"/>
      <c r="H949" s="417"/>
      <c r="I949" s="417"/>
      <c r="J949" s="417"/>
      <c r="K949" s="417"/>
      <c r="L949" s="417"/>
      <c r="M949" s="417"/>
      <c r="N949" s="417"/>
      <c r="O949" s="417"/>
      <c r="P949" s="417"/>
      <c r="Q949" s="417"/>
      <c r="R949" s="417"/>
      <c r="S949" s="417"/>
      <c r="T949" s="417"/>
      <c r="U949" s="417"/>
      <c r="V949" s="417"/>
      <c r="W949" s="417"/>
      <c r="X949" s="417"/>
      <c r="Y949" s="417"/>
      <c r="Z949" s="417"/>
    </row>
    <row r="950" spans="1:26" ht="15.75">
      <c r="A950" s="417"/>
      <c r="B950" s="417"/>
      <c r="C950" s="417"/>
      <c r="D950" s="417"/>
      <c r="E950" s="417"/>
      <c r="F950" s="417"/>
      <c r="G950" s="417"/>
      <c r="H950" s="417"/>
      <c r="I950" s="417"/>
      <c r="J950" s="417"/>
      <c r="K950" s="417"/>
      <c r="L950" s="417"/>
      <c r="M950" s="417"/>
      <c r="N950" s="417"/>
      <c r="O950" s="417"/>
      <c r="P950" s="417"/>
      <c r="Q950" s="417"/>
      <c r="R950" s="417"/>
      <c r="S950" s="417"/>
      <c r="T950" s="417"/>
      <c r="U950" s="417"/>
      <c r="V950" s="417"/>
      <c r="W950" s="417"/>
      <c r="X950" s="417"/>
      <c r="Y950" s="417"/>
      <c r="Z950" s="417"/>
    </row>
    <row r="951" spans="1:26" ht="15.75">
      <c r="A951" s="417"/>
      <c r="B951" s="417"/>
      <c r="C951" s="417"/>
      <c r="D951" s="417"/>
      <c r="E951" s="417"/>
      <c r="F951" s="417"/>
      <c r="G951" s="417"/>
      <c r="H951" s="417"/>
      <c r="I951" s="417"/>
      <c r="J951" s="417"/>
      <c r="K951" s="417"/>
      <c r="L951" s="417"/>
      <c r="M951" s="417"/>
      <c r="N951" s="417"/>
      <c r="O951" s="417"/>
      <c r="P951" s="417"/>
      <c r="Q951" s="417"/>
      <c r="R951" s="417"/>
      <c r="S951" s="417"/>
      <c r="T951" s="417"/>
      <c r="U951" s="417"/>
      <c r="V951" s="417"/>
      <c r="W951" s="417"/>
      <c r="X951" s="417"/>
      <c r="Y951" s="417"/>
      <c r="Z951" s="417"/>
    </row>
    <row r="952" spans="1:26" ht="15.75">
      <c r="A952" s="417"/>
      <c r="B952" s="417"/>
      <c r="C952" s="417"/>
      <c r="D952" s="417"/>
      <c r="E952" s="417"/>
      <c r="F952" s="417"/>
      <c r="G952" s="417"/>
      <c r="H952" s="417"/>
      <c r="I952" s="417"/>
      <c r="J952" s="417"/>
      <c r="K952" s="417"/>
      <c r="L952" s="417"/>
      <c r="M952" s="417"/>
      <c r="N952" s="417"/>
      <c r="O952" s="417"/>
      <c r="P952" s="417"/>
      <c r="Q952" s="417"/>
      <c r="R952" s="417"/>
      <c r="S952" s="417"/>
      <c r="T952" s="417"/>
      <c r="U952" s="417"/>
      <c r="V952" s="417"/>
      <c r="W952" s="417"/>
      <c r="X952" s="417"/>
      <c r="Y952" s="417"/>
      <c r="Z952" s="417"/>
    </row>
    <row r="953" spans="1:26" ht="15.75">
      <c r="A953" s="417"/>
      <c r="B953" s="417"/>
      <c r="C953" s="417"/>
      <c r="D953" s="417"/>
      <c r="E953" s="417"/>
      <c r="F953" s="417"/>
      <c r="G953" s="417"/>
      <c r="H953" s="417"/>
      <c r="I953" s="417"/>
      <c r="J953" s="417"/>
      <c r="K953" s="417"/>
      <c r="L953" s="417"/>
      <c r="M953" s="417"/>
      <c r="N953" s="417"/>
      <c r="O953" s="417"/>
      <c r="P953" s="417"/>
      <c r="Q953" s="417"/>
      <c r="R953" s="417"/>
      <c r="S953" s="417"/>
      <c r="T953" s="417"/>
      <c r="U953" s="417"/>
      <c r="V953" s="417"/>
      <c r="W953" s="417"/>
      <c r="X953" s="417"/>
      <c r="Y953" s="417"/>
      <c r="Z953" s="417"/>
    </row>
    <row r="954" spans="1:26" ht="15.75">
      <c r="A954" s="417"/>
      <c r="B954" s="417"/>
      <c r="C954" s="417"/>
      <c r="D954" s="417"/>
      <c r="E954" s="417"/>
      <c r="F954" s="417"/>
      <c r="G954" s="417"/>
      <c r="H954" s="417"/>
      <c r="I954" s="417"/>
      <c r="J954" s="417"/>
      <c r="K954" s="417"/>
      <c r="L954" s="417"/>
      <c r="M954" s="417"/>
      <c r="N954" s="417"/>
      <c r="O954" s="417"/>
      <c r="P954" s="417"/>
      <c r="Q954" s="417"/>
      <c r="R954" s="417"/>
      <c r="S954" s="417"/>
      <c r="T954" s="417"/>
      <c r="U954" s="417"/>
      <c r="V954" s="417"/>
      <c r="W954" s="417"/>
      <c r="X954" s="417"/>
      <c r="Y954" s="417"/>
      <c r="Z954" s="417"/>
    </row>
    <row r="955" spans="1:26" ht="15.75">
      <c r="A955" s="417"/>
      <c r="B955" s="417"/>
      <c r="C955" s="417"/>
      <c r="D955" s="417"/>
      <c r="E955" s="417"/>
      <c r="F955" s="417"/>
      <c r="G955" s="417"/>
      <c r="H955" s="417"/>
      <c r="I955" s="417"/>
      <c r="J955" s="417"/>
      <c r="K955" s="417"/>
      <c r="L955" s="417"/>
      <c r="M955" s="417"/>
      <c r="N955" s="417"/>
      <c r="O955" s="417"/>
      <c r="P955" s="417"/>
      <c r="Q955" s="417"/>
      <c r="R955" s="417"/>
      <c r="S955" s="417"/>
      <c r="T955" s="417"/>
      <c r="U955" s="417"/>
      <c r="V955" s="417"/>
      <c r="W955" s="417"/>
      <c r="X955" s="417"/>
      <c r="Y955" s="417"/>
      <c r="Z955" s="417"/>
    </row>
    <row r="956" spans="1:26" ht="15.75">
      <c r="A956" s="417"/>
      <c r="B956" s="417"/>
      <c r="C956" s="417"/>
      <c r="D956" s="417"/>
      <c r="E956" s="417"/>
      <c r="F956" s="417"/>
      <c r="G956" s="417"/>
      <c r="H956" s="417"/>
      <c r="I956" s="417"/>
      <c r="J956" s="417"/>
      <c r="K956" s="417"/>
      <c r="L956" s="417"/>
      <c r="M956" s="417"/>
      <c r="N956" s="417"/>
      <c r="O956" s="417"/>
      <c r="P956" s="417"/>
      <c r="Q956" s="417"/>
      <c r="R956" s="417"/>
      <c r="S956" s="417"/>
      <c r="T956" s="417"/>
      <c r="U956" s="417"/>
      <c r="V956" s="417"/>
      <c r="W956" s="417"/>
      <c r="X956" s="417"/>
      <c r="Y956" s="417"/>
      <c r="Z956" s="417"/>
    </row>
    <row r="957" spans="1:26" ht="15.75">
      <c r="A957" s="417"/>
      <c r="B957" s="417"/>
      <c r="C957" s="417"/>
      <c r="D957" s="417"/>
      <c r="E957" s="417"/>
      <c r="F957" s="417"/>
      <c r="G957" s="417"/>
      <c r="H957" s="417"/>
      <c r="I957" s="417"/>
      <c r="J957" s="417"/>
      <c r="K957" s="417"/>
      <c r="L957" s="417"/>
      <c r="M957" s="417"/>
      <c r="N957" s="417"/>
      <c r="O957" s="417"/>
      <c r="P957" s="417"/>
      <c r="Q957" s="417"/>
      <c r="R957" s="417"/>
      <c r="S957" s="417"/>
      <c r="T957" s="417"/>
      <c r="U957" s="417"/>
      <c r="V957" s="417"/>
      <c r="W957" s="417"/>
      <c r="X957" s="417"/>
      <c r="Y957" s="417"/>
      <c r="Z957" s="417"/>
    </row>
    <row r="958" spans="1:26" ht="15.75">
      <c r="A958" s="417"/>
      <c r="B958" s="417"/>
      <c r="C958" s="417"/>
      <c r="D958" s="417"/>
      <c r="E958" s="417"/>
      <c r="F958" s="417"/>
      <c r="G958" s="417"/>
      <c r="H958" s="417"/>
      <c r="I958" s="417"/>
      <c r="J958" s="417"/>
      <c r="K958" s="417"/>
      <c r="L958" s="417"/>
      <c r="M958" s="417"/>
      <c r="N958" s="417"/>
      <c r="O958" s="417"/>
      <c r="P958" s="417"/>
      <c r="Q958" s="417"/>
      <c r="R958" s="417"/>
      <c r="S958" s="417"/>
      <c r="T958" s="417"/>
      <c r="U958" s="417"/>
      <c r="V958" s="417"/>
      <c r="W958" s="417"/>
      <c r="X958" s="417"/>
      <c r="Y958" s="417"/>
      <c r="Z958" s="417"/>
    </row>
    <row r="959" spans="1:26" ht="15.75">
      <c r="A959" s="417"/>
      <c r="B959" s="417"/>
      <c r="C959" s="417"/>
      <c r="D959" s="417"/>
      <c r="E959" s="417"/>
      <c r="F959" s="417"/>
      <c r="G959" s="417"/>
      <c r="H959" s="417"/>
      <c r="I959" s="417"/>
      <c r="J959" s="417"/>
      <c r="K959" s="417"/>
      <c r="L959" s="417"/>
      <c r="M959" s="417"/>
      <c r="N959" s="417"/>
      <c r="O959" s="417"/>
      <c r="P959" s="417"/>
      <c r="Q959" s="417"/>
      <c r="R959" s="417"/>
      <c r="S959" s="417"/>
      <c r="T959" s="417"/>
      <c r="U959" s="417"/>
      <c r="V959" s="417"/>
      <c r="W959" s="417"/>
      <c r="X959" s="417"/>
      <c r="Y959" s="417"/>
      <c r="Z959" s="417"/>
    </row>
    <row r="960" spans="1:26" ht="15.75">
      <c r="A960" s="417"/>
      <c r="B960" s="417"/>
      <c r="C960" s="417"/>
      <c r="D960" s="417"/>
      <c r="E960" s="417"/>
      <c r="F960" s="417"/>
      <c r="G960" s="417"/>
      <c r="H960" s="417"/>
      <c r="I960" s="417"/>
      <c r="J960" s="417"/>
      <c r="K960" s="417"/>
      <c r="L960" s="417"/>
      <c r="M960" s="417"/>
      <c r="N960" s="417"/>
      <c r="O960" s="417"/>
      <c r="P960" s="417"/>
      <c r="Q960" s="417"/>
      <c r="R960" s="417"/>
      <c r="S960" s="417"/>
      <c r="T960" s="417"/>
      <c r="U960" s="417"/>
      <c r="V960" s="417"/>
      <c r="W960" s="417"/>
      <c r="X960" s="417"/>
      <c r="Y960" s="417"/>
      <c r="Z960" s="417"/>
    </row>
    <row r="961" spans="1:26" ht="15.75">
      <c r="A961" s="417"/>
      <c r="B961" s="417"/>
      <c r="C961" s="417"/>
      <c r="D961" s="417"/>
      <c r="E961" s="417"/>
      <c r="F961" s="417"/>
      <c r="G961" s="417"/>
      <c r="H961" s="417"/>
      <c r="I961" s="417"/>
      <c r="J961" s="417"/>
      <c r="K961" s="417"/>
      <c r="L961" s="417"/>
      <c r="M961" s="417"/>
      <c r="N961" s="417"/>
      <c r="O961" s="417"/>
      <c r="P961" s="417"/>
      <c r="Q961" s="417"/>
      <c r="R961" s="417"/>
      <c r="S961" s="417"/>
      <c r="T961" s="417"/>
      <c r="U961" s="417"/>
      <c r="V961" s="417"/>
      <c r="W961" s="417"/>
      <c r="X961" s="417"/>
      <c r="Y961" s="417"/>
      <c r="Z961" s="417"/>
    </row>
    <row r="962" spans="1:26" ht="15.75">
      <c r="A962" s="417"/>
      <c r="B962" s="417"/>
      <c r="C962" s="417"/>
      <c r="D962" s="417"/>
      <c r="E962" s="417"/>
      <c r="F962" s="417"/>
      <c r="G962" s="417"/>
      <c r="H962" s="417"/>
      <c r="I962" s="417"/>
      <c r="J962" s="417"/>
      <c r="K962" s="417"/>
      <c r="L962" s="417"/>
      <c r="M962" s="417"/>
      <c r="N962" s="417"/>
      <c r="O962" s="417"/>
      <c r="P962" s="417"/>
      <c r="Q962" s="417"/>
      <c r="R962" s="417"/>
      <c r="S962" s="417"/>
      <c r="T962" s="417"/>
      <c r="U962" s="417"/>
      <c r="V962" s="417"/>
      <c r="W962" s="417"/>
      <c r="X962" s="417"/>
      <c r="Y962" s="417"/>
      <c r="Z962" s="417"/>
    </row>
    <row r="963" spans="1:26" ht="15.75">
      <c r="A963" s="417"/>
      <c r="B963" s="417"/>
      <c r="C963" s="417"/>
      <c r="D963" s="417"/>
      <c r="E963" s="417"/>
      <c r="F963" s="417"/>
      <c r="G963" s="417"/>
      <c r="H963" s="417"/>
      <c r="I963" s="417"/>
      <c r="J963" s="417"/>
      <c r="K963" s="417"/>
      <c r="L963" s="417"/>
      <c r="M963" s="417"/>
      <c r="N963" s="417"/>
      <c r="O963" s="417"/>
      <c r="P963" s="417"/>
      <c r="Q963" s="417"/>
      <c r="R963" s="417"/>
      <c r="S963" s="417"/>
      <c r="T963" s="417"/>
      <c r="U963" s="417"/>
      <c r="V963" s="417"/>
      <c r="W963" s="417"/>
      <c r="X963" s="417"/>
      <c r="Y963" s="417"/>
      <c r="Z963" s="417"/>
    </row>
    <row r="964" spans="1:26" ht="15.75">
      <c r="A964" s="417"/>
      <c r="B964" s="417"/>
      <c r="C964" s="417"/>
      <c r="D964" s="417"/>
      <c r="E964" s="417"/>
      <c r="F964" s="417"/>
      <c r="G964" s="417"/>
      <c r="H964" s="417"/>
      <c r="I964" s="417"/>
      <c r="J964" s="417"/>
      <c r="K964" s="417"/>
      <c r="L964" s="417"/>
      <c r="M964" s="417"/>
      <c r="N964" s="417"/>
      <c r="O964" s="417"/>
      <c r="P964" s="417"/>
      <c r="Q964" s="417"/>
      <c r="R964" s="417"/>
      <c r="S964" s="417"/>
      <c r="T964" s="417"/>
      <c r="U964" s="417"/>
      <c r="V964" s="417"/>
      <c r="W964" s="417"/>
      <c r="X964" s="417"/>
      <c r="Y964" s="417"/>
      <c r="Z964" s="417"/>
    </row>
    <row r="965" spans="1:26" ht="15.75">
      <c r="A965" s="417"/>
      <c r="B965" s="417"/>
      <c r="C965" s="417"/>
      <c r="D965" s="417"/>
      <c r="E965" s="417"/>
      <c r="F965" s="417"/>
      <c r="G965" s="417"/>
      <c r="H965" s="417"/>
      <c r="I965" s="417"/>
      <c r="J965" s="417"/>
      <c r="K965" s="417"/>
      <c r="L965" s="417"/>
      <c r="M965" s="417"/>
      <c r="N965" s="417"/>
      <c r="O965" s="417"/>
      <c r="P965" s="417"/>
      <c r="Q965" s="417"/>
      <c r="R965" s="417"/>
      <c r="S965" s="417"/>
      <c r="T965" s="417"/>
      <c r="U965" s="417"/>
      <c r="V965" s="417"/>
      <c r="W965" s="417"/>
      <c r="X965" s="417"/>
      <c r="Y965" s="417"/>
      <c r="Z965" s="417"/>
    </row>
    <row r="966" spans="1:26" ht="15.75">
      <c r="A966" s="417"/>
      <c r="B966" s="417"/>
      <c r="C966" s="417"/>
      <c r="D966" s="417"/>
      <c r="E966" s="417"/>
      <c r="F966" s="417"/>
      <c r="G966" s="417"/>
      <c r="H966" s="417"/>
      <c r="I966" s="417"/>
      <c r="J966" s="417"/>
      <c r="K966" s="417"/>
      <c r="L966" s="417"/>
      <c r="M966" s="417"/>
      <c r="N966" s="417"/>
      <c r="O966" s="417"/>
      <c r="P966" s="417"/>
      <c r="Q966" s="417"/>
      <c r="R966" s="417"/>
      <c r="S966" s="417"/>
      <c r="T966" s="417"/>
      <c r="U966" s="417"/>
      <c r="V966" s="417"/>
      <c r="W966" s="417"/>
      <c r="X966" s="417"/>
      <c r="Y966" s="417"/>
      <c r="Z966" s="417"/>
    </row>
    <row r="967" spans="1:26" ht="15.75">
      <c r="A967" s="417"/>
      <c r="B967" s="417"/>
      <c r="C967" s="417"/>
      <c r="D967" s="417"/>
      <c r="E967" s="417"/>
      <c r="F967" s="417"/>
      <c r="G967" s="417"/>
      <c r="H967" s="417"/>
      <c r="I967" s="417"/>
      <c r="J967" s="417"/>
      <c r="K967" s="417"/>
      <c r="L967" s="417"/>
      <c r="M967" s="417"/>
      <c r="N967" s="417"/>
      <c r="O967" s="417"/>
      <c r="P967" s="417"/>
      <c r="Q967" s="417"/>
      <c r="R967" s="417"/>
      <c r="S967" s="417"/>
      <c r="T967" s="417"/>
      <c r="U967" s="417"/>
      <c r="V967" s="417"/>
      <c r="W967" s="417"/>
      <c r="X967" s="417"/>
      <c r="Y967" s="417"/>
      <c r="Z967" s="417"/>
    </row>
    <row r="968" spans="1:26" ht="15.75">
      <c r="A968" s="417"/>
      <c r="B968" s="417"/>
      <c r="C968" s="417"/>
      <c r="D968" s="417"/>
      <c r="E968" s="417"/>
      <c r="F968" s="417"/>
      <c r="G968" s="417"/>
      <c r="H968" s="417"/>
      <c r="I968" s="417"/>
      <c r="J968" s="417"/>
      <c r="K968" s="417"/>
      <c r="L968" s="417"/>
      <c r="M968" s="417"/>
      <c r="N968" s="417"/>
      <c r="O968" s="417"/>
      <c r="P968" s="417"/>
      <c r="Q968" s="417"/>
      <c r="R968" s="417"/>
      <c r="S968" s="417"/>
      <c r="T968" s="417"/>
      <c r="U968" s="417"/>
      <c r="V968" s="417"/>
      <c r="W968" s="417"/>
      <c r="X968" s="417"/>
      <c r="Y968" s="417"/>
      <c r="Z968" s="417"/>
    </row>
    <row r="969" spans="1:26" ht="15.75">
      <c r="A969" s="417"/>
      <c r="B969" s="417"/>
      <c r="C969" s="417"/>
      <c r="D969" s="417"/>
      <c r="E969" s="417"/>
      <c r="F969" s="417"/>
      <c r="G969" s="417"/>
      <c r="H969" s="417"/>
      <c r="I969" s="417"/>
      <c r="J969" s="417"/>
      <c r="K969" s="417"/>
      <c r="L969" s="417"/>
      <c r="M969" s="417"/>
      <c r="N969" s="417"/>
      <c r="O969" s="417"/>
      <c r="P969" s="417"/>
      <c r="Q969" s="417"/>
      <c r="R969" s="417"/>
      <c r="S969" s="417"/>
      <c r="T969" s="417"/>
      <c r="U969" s="417"/>
      <c r="V969" s="417"/>
      <c r="W969" s="417"/>
      <c r="X969" s="417"/>
      <c r="Y969" s="417"/>
      <c r="Z969" s="417"/>
    </row>
    <row r="970" spans="1:26" ht="15.75">
      <c r="A970" s="417"/>
      <c r="B970" s="417"/>
      <c r="C970" s="417"/>
      <c r="D970" s="417"/>
      <c r="E970" s="417"/>
      <c r="F970" s="417"/>
      <c r="G970" s="417"/>
      <c r="H970" s="417"/>
      <c r="I970" s="417"/>
      <c r="J970" s="417"/>
      <c r="K970" s="417"/>
      <c r="L970" s="417"/>
      <c r="M970" s="417"/>
      <c r="N970" s="417"/>
      <c r="O970" s="417"/>
      <c r="P970" s="417"/>
      <c r="Q970" s="417"/>
      <c r="R970" s="417"/>
      <c r="S970" s="417"/>
      <c r="T970" s="417"/>
      <c r="U970" s="417"/>
      <c r="V970" s="417"/>
      <c r="W970" s="417"/>
      <c r="X970" s="417"/>
      <c r="Y970" s="417"/>
      <c r="Z970" s="417"/>
    </row>
    <row r="971" spans="1:26" ht="15.75">
      <c r="A971" s="417"/>
      <c r="B971" s="417"/>
      <c r="C971" s="417"/>
      <c r="D971" s="417"/>
      <c r="E971" s="417"/>
      <c r="F971" s="417"/>
      <c r="G971" s="417"/>
      <c r="H971" s="417"/>
      <c r="I971" s="417"/>
      <c r="J971" s="417"/>
      <c r="K971" s="417"/>
      <c r="L971" s="417"/>
      <c r="M971" s="417"/>
      <c r="N971" s="417"/>
      <c r="O971" s="417"/>
      <c r="P971" s="417"/>
      <c r="Q971" s="417"/>
      <c r="R971" s="417"/>
      <c r="S971" s="417"/>
      <c r="T971" s="417"/>
      <c r="U971" s="417"/>
      <c r="V971" s="417"/>
      <c r="W971" s="417"/>
      <c r="X971" s="417"/>
      <c r="Y971" s="417"/>
      <c r="Z971" s="417"/>
    </row>
    <row r="972" spans="1:26" ht="15.75">
      <c r="A972" s="417"/>
      <c r="B972" s="417"/>
      <c r="C972" s="417"/>
      <c r="D972" s="417"/>
      <c r="E972" s="417"/>
      <c r="F972" s="417"/>
      <c r="G972" s="417"/>
      <c r="H972" s="417"/>
      <c r="I972" s="417"/>
      <c r="J972" s="417"/>
      <c r="K972" s="417"/>
      <c r="L972" s="417"/>
      <c r="M972" s="417"/>
      <c r="N972" s="417"/>
      <c r="O972" s="417"/>
      <c r="P972" s="417"/>
      <c r="Q972" s="417"/>
      <c r="R972" s="417"/>
      <c r="S972" s="417"/>
      <c r="T972" s="417"/>
      <c r="U972" s="417"/>
      <c r="V972" s="417"/>
      <c r="W972" s="417"/>
      <c r="X972" s="417"/>
      <c r="Y972" s="417"/>
      <c r="Z972" s="417"/>
    </row>
    <row r="973" spans="1:26" ht="15.75">
      <c r="A973" s="417"/>
      <c r="B973" s="417"/>
      <c r="C973" s="417"/>
      <c r="D973" s="417"/>
      <c r="E973" s="417"/>
      <c r="F973" s="417"/>
      <c r="G973" s="417"/>
      <c r="H973" s="417"/>
      <c r="I973" s="417"/>
      <c r="J973" s="417"/>
      <c r="K973" s="417"/>
      <c r="L973" s="417"/>
      <c r="M973" s="417"/>
      <c r="N973" s="417"/>
      <c r="O973" s="417"/>
      <c r="P973" s="417"/>
      <c r="Q973" s="417"/>
      <c r="R973" s="417"/>
      <c r="S973" s="417"/>
      <c r="T973" s="417"/>
      <c r="U973" s="417"/>
      <c r="V973" s="417"/>
      <c r="W973" s="417"/>
      <c r="X973" s="417"/>
      <c r="Y973" s="417"/>
      <c r="Z973" s="417"/>
    </row>
    <row r="974" spans="1:26" ht="15.75">
      <c r="A974" s="417"/>
      <c r="B974" s="417"/>
      <c r="C974" s="417"/>
      <c r="D974" s="417"/>
      <c r="E974" s="417"/>
      <c r="F974" s="417"/>
      <c r="G974" s="417"/>
      <c r="H974" s="417"/>
      <c r="I974" s="417"/>
      <c r="J974" s="417"/>
      <c r="K974" s="417"/>
      <c r="L974" s="417"/>
      <c r="M974" s="417"/>
      <c r="N974" s="417"/>
      <c r="O974" s="417"/>
      <c r="P974" s="417"/>
      <c r="Q974" s="417"/>
      <c r="R974" s="417"/>
      <c r="S974" s="417"/>
      <c r="T974" s="417"/>
      <c r="U974" s="417"/>
      <c r="V974" s="417"/>
      <c r="W974" s="417"/>
      <c r="X974" s="417"/>
      <c r="Y974" s="417"/>
      <c r="Z974" s="417"/>
    </row>
    <row r="975" spans="1:26" ht="15.75">
      <c r="A975" s="417"/>
      <c r="B975" s="417"/>
      <c r="C975" s="417"/>
      <c r="D975" s="417"/>
      <c r="E975" s="417"/>
      <c r="F975" s="417"/>
      <c r="G975" s="417"/>
      <c r="H975" s="417"/>
      <c r="I975" s="417"/>
      <c r="J975" s="417"/>
      <c r="K975" s="417"/>
      <c r="L975" s="417"/>
      <c r="M975" s="417"/>
      <c r="N975" s="417"/>
      <c r="O975" s="417"/>
      <c r="P975" s="417"/>
      <c r="Q975" s="417"/>
      <c r="R975" s="417"/>
      <c r="S975" s="417"/>
      <c r="T975" s="417"/>
      <c r="U975" s="417"/>
      <c r="V975" s="417"/>
      <c r="W975" s="417"/>
      <c r="X975" s="417"/>
      <c r="Y975" s="417"/>
      <c r="Z975" s="417"/>
    </row>
    <row r="976" spans="1:26" ht="15.75">
      <c r="A976" s="417"/>
      <c r="B976" s="417"/>
      <c r="C976" s="417"/>
      <c r="D976" s="417"/>
      <c r="E976" s="417"/>
      <c r="F976" s="417"/>
      <c r="G976" s="417"/>
      <c r="H976" s="417"/>
      <c r="I976" s="417"/>
      <c r="J976" s="417"/>
      <c r="K976" s="417"/>
      <c r="L976" s="417"/>
      <c r="M976" s="417"/>
      <c r="N976" s="417"/>
      <c r="O976" s="417"/>
      <c r="P976" s="417"/>
      <c r="Q976" s="417"/>
      <c r="R976" s="417"/>
      <c r="S976" s="417"/>
      <c r="T976" s="417"/>
      <c r="U976" s="417"/>
      <c r="V976" s="417"/>
      <c r="W976" s="417"/>
      <c r="X976" s="417"/>
      <c r="Y976" s="417"/>
      <c r="Z976" s="417"/>
    </row>
    <row r="977" spans="1:26" ht="15.75">
      <c r="A977" s="417"/>
      <c r="B977" s="417"/>
      <c r="C977" s="417"/>
      <c r="D977" s="417"/>
      <c r="E977" s="417"/>
      <c r="F977" s="417"/>
      <c r="G977" s="417"/>
      <c r="H977" s="417"/>
      <c r="I977" s="417"/>
      <c r="J977" s="417"/>
      <c r="K977" s="417"/>
      <c r="L977" s="417"/>
      <c r="M977" s="417"/>
      <c r="N977" s="417"/>
      <c r="O977" s="417"/>
      <c r="P977" s="417"/>
      <c r="Q977" s="417"/>
      <c r="R977" s="417"/>
      <c r="S977" s="417"/>
      <c r="T977" s="417"/>
      <c r="U977" s="417"/>
      <c r="V977" s="417"/>
      <c r="W977" s="417"/>
      <c r="X977" s="417"/>
      <c r="Y977" s="417"/>
      <c r="Z977" s="417"/>
    </row>
    <row r="978" spans="1:26" ht="15.75">
      <c r="A978" s="417"/>
      <c r="B978" s="417"/>
      <c r="C978" s="417"/>
      <c r="D978" s="417"/>
      <c r="E978" s="417"/>
      <c r="F978" s="417"/>
      <c r="G978" s="417"/>
      <c r="H978" s="417"/>
      <c r="I978" s="417"/>
      <c r="J978" s="417"/>
      <c r="K978" s="417"/>
      <c r="L978" s="417"/>
      <c r="M978" s="417"/>
      <c r="N978" s="417"/>
      <c r="O978" s="417"/>
      <c r="P978" s="417"/>
      <c r="Q978" s="417"/>
      <c r="R978" s="417"/>
      <c r="S978" s="417"/>
      <c r="T978" s="417"/>
      <c r="U978" s="417"/>
      <c r="V978" s="417"/>
      <c r="W978" s="417"/>
      <c r="X978" s="417"/>
      <c r="Y978" s="417"/>
      <c r="Z978" s="417"/>
    </row>
    <row r="979" spans="1:26" ht="15.75">
      <c r="A979" s="417"/>
      <c r="B979" s="417"/>
      <c r="C979" s="417"/>
      <c r="D979" s="417"/>
      <c r="E979" s="417"/>
      <c r="F979" s="417"/>
      <c r="G979" s="417"/>
      <c r="H979" s="417"/>
      <c r="I979" s="417"/>
      <c r="J979" s="417"/>
      <c r="K979" s="417"/>
      <c r="L979" s="417"/>
      <c r="M979" s="417"/>
      <c r="N979" s="417"/>
      <c r="O979" s="417"/>
      <c r="P979" s="417"/>
      <c r="Q979" s="417"/>
      <c r="R979" s="417"/>
      <c r="S979" s="417"/>
      <c r="T979" s="417"/>
      <c r="U979" s="417"/>
      <c r="V979" s="417"/>
      <c r="W979" s="417"/>
      <c r="X979" s="417"/>
      <c r="Y979" s="417"/>
      <c r="Z979" s="417"/>
    </row>
    <row r="980" spans="1:26" ht="15.75">
      <c r="A980" s="417"/>
      <c r="B980" s="417"/>
      <c r="C980" s="417"/>
      <c r="D980" s="417"/>
      <c r="E980" s="417"/>
      <c r="F980" s="417"/>
      <c r="G980" s="417"/>
      <c r="H980" s="417"/>
      <c r="I980" s="417"/>
      <c r="J980" s="417"/>
      <c r="K980" s="417"/>
      <c r="L980" s="417"/>
      <c r="M980" s="417"/>
      <c r="N980" s="417"/>
      <c r="O980" s="417"/>
      <c r="P980" s="417"/>
      <c r="Q980" s="417"/>
      <c r="R980" s="417"/>
      <c r="S980" s="417"/>
      <c r="T980" s="417"/>
      <c r="U980" s="417"/>
      <c r="V980" s="417"/>
      <c r="W980" s="417"/>
      <c r="X980" s="417"/>
      <c r="Y980" s="417"/>
      <c r="Z980" s="417"/>
    </row>
    <row r="981" spans="1:26" ht="15.75">
      <c r="A981" s="417"/>
      <c r="B981" s="417"/>
      <c r="C981" s="417"/>
      <c r="D981" s="417"/>
      <c r="E981" s="417"/>
      <c r="F981" s="417"/>
      <c r="G981" s="417"/>
      <c r="H981" s="417"/>
      <c r="I981" s="417"/>
      <c r="J981" s="417"/>
      <c r="K981" s="417"/>
      <c r="L981" s="417"/>
      <c r="M981" s="417"/>
      <c r="N981" s="417"/>
      <c r="O981" s="417"/>
      <c r="P981" s="417"/>
      <c r="Q981" s="417"/>
      <c r="R981" s="417"/>
      <c r="S981" s="417"/>
      <c r="T981" s="417"/>
      <c r="U981" s="417"/>
      <c r="V981" s="417"/>
      <c r="W981" s="417"/>
      <c r="X981" s="417"/>
      <c r="Y981" s="417"/>
      <c r="Z981" s="417"/>
    </row>
    <row r="982" spans="1:26" ht="15.75">
      <c r="A982" s="417"/>
      <c r="B982" s="417"/>
      <c r="C982" s="417"/>
      <c r="D982" s="417"/>
      <c r="E982" s="417"/>
      <c r="F982" s="417"/>
      <c r="G982" s="417"/>
      <c r="H982" s="417"/>
      <c r="I982" s="417"/>
      <c r="J982" s="417"/>
      <c r="K982" s="417"/>
      <c r="L982" s="417"/>
      <c r="M982" s="417"/>
      <c r="N982" s="417"/>
      <c r="O982" s="417"/>
      <c r="P982" s="417"/>
      <c r="Q982" s="417"/>
      <c r="R982" s="417"/>
      <c r="S982" s="417"/>
      <c r="T982" s="417"/>
      <c r="U982" s="417"/>
      <c r="V982" s="417"/>
      <c r="W982" s="417"/>
      <c r="X982" s="417"/>
      <c r="Y982" s="417"/>
      <c r="Z982" s="417"/>
    </row>
    <row r="983" spans="1:26" ht="15.75">
      <c r="A983" s="417"/>
      <c r="B983" s="417"/>
      <c r="C983" s="417"/>
      <c r="D983" s="417"/>
      <c r="E983" s="417"/>
      <c r="F983" s="417"/>
      <c r="G983" s="417"/>
      <c r="H983" s="417"/>
      <c r="I983" s="417"/>
      <c r="J983" s="417"/>
      <c r="K983" s="417"/>
      <c r="L983" s="417"/>
      <c r="M983" s="417"/>
      <c r="N983" s="417"/>
      <c r="O983" s="417"/>
      <c r="P983" s="417"/>
      <c r="Q983" s="417"/>
      <c r="R983" s="417"/>
      <c r="S983" s="417"/>
      <c r="T983" s="417"/>
      <c r="U983" s="417"/>
      <c r="V983" s="417"/>
      <c r="W983" s="417"/>
      <c r="X983" s="417"/>
      <c r="Y983" s="417"/>
      <c r="Z983" s="417"/>
    </row>
    <row r="984" spans="1:26" ht="15.75">
      <c r="A984" s="417"/>
      <c r="B984" s="417"/>
      <c r="C984" s="417"/>
      <c r="D984" s="417"/>
      <c r="E984" s="417"/>
      <c r="F984" s="417"/>
      <c r="G984" s="417"/>
      <c r="H984" s="417"/>
      <c r="I984" s="417"/>
      <c r="J984" s="417"/>
      <c r="K984" s="417"/>
      <c r="L984" s="417"/>
      <c r="M984" s="417"/>
      <c r="N984" s="417"/>
      <c r="O984" s="417"/>
      <c r="P984" s="417"/>
      <c r="Q984" s="417"/>
      <c r="R984" s="417"/>
      <c r="S984" s="417"/>
      <c r="T984" s="417"/>
      <c r="U984" s="417"/>
      <c r="V984" s="417"/>
      <c r="W984" s="417"/>
      <c r="X984" s="417"/>
      <c r="Y984" s="417"/>
      <c r="Z984" s="417"/>
    </row>
    <row r="985" spans="1:26" ht="15.75">
      <c r="A985" s="417"/>
      <c r="B985" s="417"/>
      <c r="C985" s="417"/>
      <c r="D985" s="417"/>
      <c r="E985" s="417"/>
      <c r="F985" s="417"/>
      <c r="G985" s="417"/>
      <c r="H985" s="417"/>
      <c r="I985" s="417"/>
      <c r="J985" s="417"/>
      <c r="K985" s="417"/>
      <c r="L985" s="417"/>
      <c r="M985" s="417"/>
      <c r="N985" s="417"/>
      <c r="O985" s="417"/>
      <c r="P985" s="417"/>
      <c r="Q985" s="417"/>
      <c r="R985" s="417"/>
      <c r="S985" s="417"/>
      <c r="T985" s="417"/>
      <c r="U985" s="417"/>
      <c r="V985" s="417"/>
      <c r="W985" s="417"/>
      <c r="X985" s="417"/>
      <c r="Y985" s="417"/>
      <c r="Z985" s="417"/>
    </row>
    <row r="986" spans="1:26" ht="15.75">
      <c r="A986" s="417"/>
      <c r="B986" s="417"/>
      <c r="C986" s="417"/>
      <c r="D986" s="417"/>
      <c r="E986" s="417"/>
      <c r="F986" s="417"/>
      <c r="G986" s="417"/>
      <c r="H986" s="417"/>
      <c r="I986" s="417"/>
      <c r="J986" s="417"/>
      <c r="K986" s="417"/>
      <c r="L986" s="417"/>
      <c r="M986" s="417"/>
      <c r="N986" s="417"/>
      <c r="O986" s="417"/>
      <c r="P986" s="417"/>
      <c r="Q986" s="417"/>
      <c r="R986" s="417"/>
      <c r="S986" s="417"/>
      <c r="T986" s="417"/>
      <c r="U986" s="417"/>
      <c r="V986" s="417"/>
      <c r="W986" s="417"/>
      <c r="X986" s="417"/>
      <c r="Y986" s="417"/>
      <c r="Z986" s="417"/>
    </row>
    <row r="987" spans="1:26" ht="15.75">
      <c r="A987" s="417"/>
      <c r="B987" s="417"/>
      <c r="C987" s="417"/>
      <c r="D987" s="417"/>
      <c r="E987" s="417"/>
      <c r="F987" s="417"/>
      <c r="G987" s="417"/>
      <c r="H987" s="417"/>
      <c r="I987" s="417"/>
      <c r="J987" s="417"/>
      <c r="K987" s="417"/>
      <c r="L987" s="417"/>
      <c r="M987" s="417"/>
      <c r="N987" s="417"/>
      <c r="O987" s="417"/>
      <c r="P987" s="417"/>
      <c r="Q987" s="417"/>
      <c r="R987" s="417"/>
      <c r="S987" s="417"/>
      <c r="T987" s="417"/>
      <c r="U987" s="417"/>
      <c r="V987" s="417"/>
      <c r="W987" s="417"/>
      <c r="X987" s="417"/>
      <c r="Y987" s="417"/>
      <c r="Z987" s="417"/>
    </row>
    <row r="988" spans="1:26" ht="15.75">
      <c r="A988" s="417"/>
      <c r="B988" s="417"/>
      <c r="C988" s="417"/>
      <c r="D988" s="417"/>
      <c r="E988" s="417"/>
      <c r="F988" s="417"/>
      <c r="G988" s="417"/>
      <c r="H988" s="417"/>
      <c r="I988" s="417"/>
      <c r="J988" s="417"/>
      <c r="K988" s="417"/>
      <c r="L988" s="417"/>
      <c r="M988" s="417"/>
      <c r="N988" s="417"/>
      <c r="O988" s="417"/>
      <c r="P988" s="417"/>
      <c r="Q988" s="417"/>
      <c r="R988" s="417"/>
      <c r="S988" s="417"/>
      <c r="T988" s="417"/>
      <c r="U988" s="417"/>
      <c r="V988" s="417"/>
      <c r="W988" s="417"/>
      <c r="X988" s="417"/>
      <c r="Y988" s="417"/>
      <c r="Z988" s="417"/>
    </row>
    <row r="989" spans="1:26" ht="15.75">
      <c r="A989" s="417"/>
      <c r="B989" s="417"/>
      <c r="C989" s="417"/>
      <c r="D989" s="417"/>
      <c r="E989" s="417"/>
      <c r="F989" s="417"/>
      <c r="G989" s="417"/>
      <c r="H989" s="417"/>
      <c r="I989" s="417"/>
      <c r="J989" s="417"/>
      <c r="K989" s="417"/>
      <c r="L989" s="417"/>
      <c r="M989" s="417"/>
      <c r="N989" s="417"/>
      <c r="O989" s="417"/>
      <c r="P989" s="417"/>
      <c r="Q989" s="417"/>
      <c r="R989" s="417"/>
      <c r="S989" s="417"/>
      <c r="T989" s="417"/>
      <c r="U989" s="417"/>
      <c r="V989" s="417"/>
      <c r="W989" s="417"/>
      <c r="X989" s="417"/>
      <c r="Y989" s="417"/>
      <c r="Z989" s="417"/>
    </row>
    <row r="990" spans="1:26" ht="15.75">
      <c r="A990" s="417"/>
      <c r="B990" s="417"/>
      <c r="C990" s="417"/>
      <c r="D990" s="417"/>
      <c r="E990" s="417"/>
      <c r="F990" s="417"/>
      <c r="G990" s="417"/>
      <c r="H990" s="417"/>
      <c r="I990" s="417"/>
      <c r="J990" s="417"/>
      <c r="K990" s="417"/>
      <c r="L990" s="417"/>
      <c r="M990" s="417"/>
      <c r="N990" s="417"/>
      <c r="O990" s="417"/>
      <c r="P990" s="417"/>
      <c r="Q990" s="417"/>
      <c r="R990" s="417"/>
      <c r="S990" s="417"/>
      <c r="T990" s="417"/>
      <c r="U990" s="417"/>
      <c r="V990" s="417"/>
      <c r="W990" s="417"/>
      <c r="X990" s="417"/>
      <c r="Y990" s="417"/>
      <c r="Z990" s="417"/>
    </row>
    <row r="991" spans="1:26" ht="15.75">
      <c r="A991" s="417"/>
      <c r="B991" s="417"/>
      <c r="C991" s="417"/>
      <c r="D991" s="417"/>
      <c r="E991" s="417"/>
      <c r="F991" s="417"/>
      <c r="G991" s="417"/>
      <c r="H991" s="417"/>
      <c r="I991" s="417"/>
      <c r="J991" s="417"/>
      <c r="K991" s="417"/>
      <c r="L991" s="417"/>
      <c r="M991" s="417"/>
      <c r="N991" s="417"/>
      <c r="O991" s="417"/>
      <c r="P991" s="417"/>
      <c r="Q991" s="417"/>
      <c r="R991" s="417"/>
      <c r="S991" s="417"/>
      <c r="T991" s="417"/>
      <c r="U991" s="417"/>
      <c r="V991" s="417"/>
      <c r="W991" s="417"/>
      <c r="X991" s="417"/>
      <c r="Y991" s="417"/>
      <c r="Z991" s="417"/>
    </row>
    <row r="992" spans="1:26" ht="15.75">
      <c r="A992" s="417"/>
      <c r="B992" s="417"/>
      <c r="C992" s="417"/>
      <c r="D992" s="417"/>
      <c r="E992" s="417"/>
      <c r="F992" s="417"/>
      <c r="G992" s="417"/>
      <c r="H992" s="417"/>
      <c r="I992" s="417"/>
      <c r="J992" s="417"/>
      <c r="K992" s="417"/>
      <c r="L992" s="417"/>
      <c r="M992" s="417"/>
      <c r="N992" s="417"/>
      <c r="O992" s="417"/>
      <c r="P992" s="417"/>
      <c r="Q992" s="417"/>
      <c r="R992" s="417"/>
      <c r="S992" s="417"/>
      <c r="T992" s="417"/>
      <c r="U992" s="417"/>
      <c r="V992" s="417"/>
      <c r="W992" s="417"/>
      <c r="X992" s="417"/>
      <c r="Y992" s="417"/>
      <c r="Z992" s="417"/>
    </row>
    <row r="993" spans="1:26" ht="15.75">
      <c r="A993" s="417"/>
      <c r="B993" s="417"/>
      <c r="C993" s="417"/>
      <c r="D993" s="417"/>
      <c r="E993" s="417"/>
      <c r="F993" s="417"/>
      <c r="G993" s="417"/>
      <c r="H993" s="417"/>
      <c r="I993" s="417"/>
      <c r="J993" s="417"/>
      <c r="K993" s="417"/>
      <c r="L993" s="417"/>
      <c r="M993" s="417"/>
      <c r="N993" s="417"/>
      <c r="O993" s="417"/>
      <c r="P993" s="417"/>
      <c r="Q993" s="417"/>
      <c r="R993" s="417"/>
      <c r="S993" s="417"/>
      <c r="T993" s="417"/>
      <c r="U993" s="417"/>
      <c r="V993" s="417"/>
      <c r="W993" s="417"/>
      <c r="X993" s="417"/>
      <c r="Y993" s="417"/>
      <c r="Z993" s="417"/>
    </row>
    <row r="994" spans="1:26" ht="15.75">
      <c r="A994" s="417"/>
      <c r="B994" s="417"/>
      <c r="C994" s="417"/>
      <c r="D994" s="417"/>
      <c r="E994" s="417"/>
      <c r="F994" s="417"/>
      <c r="G994" s="417"/>
      <c r="H994" s="417"/>
      <c r="I994" s="417"/>
      <c r="J994" s="417"/>
      <c r="K994" s="417"/>
      <c r="L994" s="417"/>
      <c r="M994" s="417"/>
      <c r="N994" s="417"/>
      <c r="O994" s="417"/>
      <c r="P994" s="417"/>
      <c r="Q994" s="417"/>
      <c r="R994" s="417"/>
      <c r="S994" s="417"/>
      <c r="T994" s="417"/>
      <c r="U994" s="417"/>
      <c r="V994" s="417"/>
      <c r="W994" s="417"/>
      <c r="X994" s="417"/>
      <c r="Y994" s="417"/>
      <c r="Z994" s="417"/>
    </row>
    <row r="995" spans="1:26" ht="15.75">
      <c r="A995" s="417"/>
      <c r="B995" s="417"/>
      <c r="C995" s="417"/>
      <c r="D995" s="417"/>
      <c r="E995" s="417"/>
      <c r="F995" s="417"/>
      <c r="G995" s="417"/>
      <c r="H995" s="417"/>
      <c r="I995" s="417"/>
      <c r="J995" s="417"/>
      <c r="K995" s="417"/>
      <c r="L995" s="417"/>
      <c r="M995" s="417"/>
      <c r="N995" s="417"/>
      <c r="O995" s="417"/>
      <c r="P995" s="417"/>
      <c r="Q995" s="417"/>
      <c r="R995" s="417"/>
      <c r="S995" s="417"/>
      <c r="T995" s="417"/>
      <c r="U995" s="417"/>
      <c r="V995" s="417"/>
      <c r="W995" s="417"/>
      <c r="X995" s="417"/>
      <c r="Y995" s="417"/>
      <c r="Z995" s="417"/>
    </row>
    <row r="996" spans="1:26" ht="15.75">
      <c r="A996" s="417"/>
      <c r="B996" s="417"/>
      <c r="C996" s="417"/>
      <c r="D996" s="417"/>
      <c r="E996" s="417"/>
      <c r="F996" s="417"/>
      <c r="G996" s="417"/>
      <c r="H996" s="417"/>
      <c r="I996" s="417"/>
      <c r="J996" s="417"/>
      <c r="K996" s="417"/>
      <c r="L996" s="417"/>
      <c r="M996" s="417"/>
      <c r="N996" s="417"/>
      <c r="O996" s="417"/>
      <c r="P996" s="417"/>
      <c r="Q996" s="417"/>
      <c r="R996" s="417"/>
      <c r="S996" s="417"/>
      <c r="T996" s="417"/>
      <c r="U996" s="417"/>
      <c r="V996" s="417"/>
      <c r="W996" s="417"/>
      <c r="X996" s="417"/>
      <c r="Y996" s="417"/>
      <c r="Z996" s="417"/>
    </row>
    <row r="997" spans="1:26" ht="15.75">
      <c r="A997" s="417"/>
      <c r="B997" s="417"/>
      <c r="C997" s="417"/>
      <c r="D997" s="417"/>
      <c r="E997" s="417"/>
      <c r="F997" s="417"/>
      <c r="G997" s="417"/>
      <c r="H997" s="417"/>
      <c r="I997" s="417"/>
      <c r="J997" s="417"/>
      <c r="K997" s="417"/>
      <c r="L997" s="417"/>
      <c r="M997" s="417"/>
      <c r="N997" s="417"/>
      <c r="O997" s="417"/>
      <c r="P997" s="417"/>
      <c r="Q997" s="417"/>
      <c r="R997" s="417"/>
      <c r="S997" s="417"/>
      <c r="T997" s="417"/>
      <c r="U997" s="417"/>
      <c r="V997" s="417"/>
      <c r="W997" s="417"/>
      <c r="X997" s="417"/>
      <c r="Y997" s="417"/>
      <c r="Z997" s="417"/>
    </row>
    <row r="998" spans="1:26" ht="15.75">
      <c r="A998" s="417"/>
      <c r="B998" s="417"/>
      <c r="C998" s="417"/>
      <c r="D998" s="417"/>
      <c r="E998" s="417"/>
      <c r="F998" s="417"/>
      <c r="G998" s="417"/>
      <c r="H998" s="417"/>
      <c r="I998" s="417"/>
      <c r="J998" s="417"/>
      <c r="K998" s="417"/>
      <c r="L998" s="417"/>
      <c r="M998" s="417"/>
      <c r="N998" s="417"/>
      <c r="O998" s="417"/>
      <c r="P998" s="417"/>
      <c r="Q998" s="417"/>
      <c r="R998" s="417"/>
      <c r="S998" s="417"/>
      <c r="T998" s="417"/>
      <c r="U998" s="417"/>
      <c r="V998" s="417"/>
      <c r="W998" s="417"/>
      <c r="X998" s="417"/>
      <c r="Y998" s="417"/>
      <c r="Z998" s="417"/>
    </row>
    <row r="999" spans="1:26" ht="15.75">
      <c r="A999" s="417"/>
      <c r="B999" s="417"/>
      <c r="C999" s="417"/>
      <c r="D999" s="417"/>
      <c r="E999" s="417"/>
      <c r="F999" s="417"/>
      <c r="G999" s="417"/>
      <c r="H999" s="417"/>
      <c r="I999" s="417"/>
      <c r="J999" s="417"/>
      <c r="K999" s="417"/>
      <c r="L999" s="417"/>
      <c r="M999" s="417"/>
      <c r="N999" s="417"/>
      <c r="O999" s="417"/>
      <c r="P999" s="417"/>
      <c r="Q999" s="417"/>
      <c r="R999" s="417"/>
      <c r="S999" s="417"/>
      <c r="T999" s="417"/>
      <c r="U999" s="417"/>
      <c r="V999" s="417"/>
      <c r="W999" s="417"/>
      <c r="X999" s="417"/>
      <c r="Y999" s="417"/>
      <c r="Z999" s="417"/>
    </row>
    <row r="1000" spans="1:26" ht="15.75">
      <c r="A1000" s="417"/>
      <c r="B1000" s="417"/>
      <c r="C1000" s="417"/>
      <c r="D1000" s="417"/>
      <c r="E1000" s="417"/>
      <c r="F1000" s="417"/>
      <c r="G1000" s="417"/>
      <c r="H1000" s="417"/>
      <c r="I1000" s="417"/>
      <c r="J1000" s="417"/>
      <c r="K1000" s="417"/>
      <c r="L1000" s="417"/>
      <c r="M1000" s="417"/>
      <c r="N1000" s="417"/>
      <c r="O1000" s="417"/>
      <c r="P1000" s="417"/>
      <c r="Q1000" s="417"/>
      <c r="R1000" s="417"/>
      <c r="S1000" s="417"/>
      <c r="T1000" s="417"/>
      <c r="U1000" s="417"/>
      <c r="V1000" s="417"/>
      <c r="W1000" s="417"/>
      <c r="X1000" s="417"/>
      <c r="Y1000" s="417"/>
      <c r="Z1000" s="417"/>
    </row>
  </sheetData>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C5325-7E64-4686-A867-74D52DA90438}">
  <dimension ref="B2:I28"/>
  <sheetViews>
    <sheetView workbookViewId="0">
      <selection activeCell="F44" sqref="F44"/>
    </sheetView>
  </sheetViews>
  <sheetFormatPr defaultColWidth="11.125" defaultRowHeight="14.25"/>
  <cols>
    <col min="1" max="1" width="2.625" style="417" customWidth="1"/>
    <col min="2" max="2" width="36.625" style="417" customWidth="1"/>
    <col min="3" max="3" width="13.875" style="417" customWidth="1"/>
    <col min="4" max="4" width="15.625" style="417" customWidth="1"/>
    <col min="5" max="5" width="13.875" style="417" customWidth="1"/>
    <col min="6" max="6" width="75.375" style="417" customWidth="1"/>
    <col min="7" max="7" width="15.625" style="417" customWidth="1"/>
    <col min="8" max="8" width="12" style="417" customWidth="1"/>
    <col min="9" max="25" width="11.875" style="417" customWidth="1"/>
    <col min="26" max="16384" width="11.125" style="417"/>
  </cols>
  <sheetData>
    <row r="2" spans="2:9" ht="16.5" thickBot="1">
      <c r="B2" s="418" t="s">
        <v>403</v>
      </c>
      <c r="C2" s="419"/>
      <c r="D2" s="419"/>
      <c r="E2" s="419"/>
      <c r="F2" s="420"/>
      <c r="G2" s="420"/>
      <c r="H2" s="421"/>
      <c r="I2" s="421"/>
    </row>
    <row r="3" spans="2:9">
      <c r="B3" s="421"/>
      <c r="C3" s="421"/>
      <c r="D3" s="421"/>
      <c r="E3" s="421"/>
      <c r="F3" s="422"/>
      <c r="G3" s="421"/>
      <c r="H3" s="421"/>
      <c r="I3" s="421"/>
    </row>
    <row r="4" spans="2:9" s="416" customFormat="1" ht="12">
      <c r="B4" s="706" t="s">
        <v>181</v>
      </c>
      <c r="C4" s="707" t="s">
        <v>404</v>
      </c>
      <c r="D4" s="707" t="s">
        <v>405</v>
      </c>
      <c r="E4" s="707" t="s">
        <v>406</v>
      </c>
      <c r="F4" s="707" t="s">
        <v>407</v>
      </c>
      <c r="G4" s="707" t="s">
        <v>408</v>
      </c>
      <c r="H4" s="425"/>
      <c r="I4" s="425"/>
    </row>
    <row r="5" spans="2:9" s="416" customFormat="1" ht="24">
      <c r="B5" s="425" t="s">
        <v>409</v>
      </c>
      <c r="C5" s="426">
        <v>88</v>
      </c>
      <c r="D5" s="426" t="s">
        <v>410</v>
      </c>
      <c r="E5" s="427">
        <f>11500+2600</f>
        <v>14100</v>
      </c>
      <c r="F5" s="428" t="s">
        <v>443</v>
      </c>
      <c r="G5" s="427">
        <f t="shared" ref="G5" si="0">C5*E5</f>
        <v>1240800</v>
      </c>
      <c r="H5" s="425"/>
      <c r="I5" s="425"/>
    </row>
    <row r="6" spans="2:9" s="416" customFormat="1" ht="12">
      <c r="B6" s="429" t="s">
        <v>412</v>
      </c>
      <c r="C6" s="430"/>
      <c r="D6" s="430"/>
      <c r="E6" s="431"/>
      <c r="F6" s="432"/>
      <c r="G6" s="433">
        <f>SUM(G5:G5)</f>
        <v>1240800</v>
      </c>
      <c r="H6" s="434"/>
      <c r="I6" s="425"/>
    </row>
    <row r="7" spans="2:9" s="416" customFormat="1" ht="12">
      <c r="B7" s="425"/>
      <c r="C7" s="426"/>
      <c r="D7" s="426"/>
      <c r="E7" s="427"/>
      <c r="F7" s="425"/>
      <c r="G7" s="426"/>
      <c r="H7" s="425"/>
      <c r="I7" s="425"/>
    </row>
    <row r="8" spans="2:9" s="416" customFormat="1" ht="12">
      <c r="B8" s="706" t="s">
        <v>413</v>
      </c>
      <c r="C8" s="707" t="s">
        <v>404</v>
      </c>
      <c r="D8" s="707" t="s">
        <v>405</v>
      </c>
      <c r="E8" s="707" t="s">
        <v>406</v>
      </c>
      <c r="F8" s="707" t="s">
        <v>407</v>
      </c>
      <c r="G8" s="707" t="s">
        <v>408</v>
      </c>
      <c r="H8" s="425"/>
      <c r="I8" s="425"/>
    </row>
    <row r="9" spans="2:9" s="416" customFormat="1" ht="12">
      <c r="B9" s="425" t="s">
        <v>444</v>
      </c>
      <c r="C9" s="426">
        <v>1</v>
      </c>
      <c r="D9" s="426" t="s">
        <v>415</v>
      </c>
      <c r="E9" s="427">
        <v>150000</v>
      </c>
      <c r="F9" s="428" t="s">
        <v>445</v>
      </c>
      <c r="G9" s="427">
        <f t="shared" ref="G9:G20" si="1">C9*E9</f>
        <v>150000</v>
      </c>
      <c r="H9" s="434"/>
      <c r="I9" s="425"/>
    </row>
    <row r="10" spans="2:9" s="416" customFormat="1" ht="12">
      <c r="B10" s="425" t="s">
        <v>417</v>
      </c>
      <c r="C10" s="426">
        <v>32</v>
      </c>
      <c r="D10" s="426" t="s">
        <v>415</v>
      </c>
      <c r="E10" s="427">
        <v>10000</v>
      </c>
      <c r="F10" s="428" t="s">
        <v>418</v>
      </c>
      <c r="G10" s="427">
        <f t="shared" si="1"/>
        <v>320000</v>
      </c>
      <c r="H10" s="425"/>
      <c r="I10" s="425"/>
    </row>
    <row r="11" spans="2:9" s="416" customFormat="1" ht="12">
      <c r="B11" s="425" t="s">
        <v>419</v>
      </c>
      <c r="C11" s="426">
        <v>1</v>
      </c>
      <c r="D11" s="426"/>
      <c r="E11" s="427">
        <v>60000</v>
      </c>
      <c r="F11" s="428" t="s">
        <v>420</v>
      </c>
      <c r="G11" s="427">
        <f>C11*E11</f>
        <v>60000</v>
      </c>
      <c r="H11" s="425"/>
      <c r="I11" s="425"/>
    </row>
    <row r="12" spans="2:9" s="416" customFormat="1" ht="12">
      <c r="B12" s="425" t="s">
        <v>421</v>
      </c>
      <c r="C12" s="426">
        <v>1</v>
      </c>
      <c r="D12" s="426"/>
      <c r="E12" s="427">
        <v>100000</v>
      </c>
      <c r="F12" s="428" t="s">
        <v>422</v>
      </c>
      <c r="G12" s="427">
        <f>C12*E12</f>
        <v>100000</v>
      </c>
      <c r="H12" s="425"/>
      <c r="I12" s="425"/>
    </row>
    <row r="13" spans="2:9" s="416" customFormat="1" ht="12">
      <c r="B13" s="425" t="s">
        <v>446</v>
      </c>
      <c r="C13" s="426">
        <v>32</v>
      </c>
      <c r="D13" s="426" t="s">
        <v>415</v>
      </c>
      <c r="E13" s="708">
        <v>1500</v>
      </c>
      <c r="F13" s="428" t="s">
        <v>447</v>
      </c>
      <c r="G13" s="427">
        <f>C13*E13</f>
        <v>48000</v>
      </c>
      <c r="H13" s="425"/>
      <c r="I13" s="425"/>
    </row>
    <row r="14" spans="2:9" s="416" customFormat="1" ht="12">
      <c r="B14" s="425" t="s">
        <v>448</v>
      </c>
      <c r="C14" s="426">
        <v>41</v>
      </c>
      <c r="D14" s="426" t="s">
        <v>449</v>
      </c>
      <c r="E14" s="708">
        <v>800</v>
      </c>
      <c r="F14" s="428" t="s">
        <v>450</v>
      </c>
      <c r="G14" s="427">
        <f>C14*E14</f>
        <v>32800</v>
      </c>
      <c r="H14" s="425"/>
      <c r="I14" s="425"/>
    </row>
    <row r="15" spans="2:9" s="416" customFormat="1" ht="12">
      <c r="B15" s="425" t="s">
        <v>423</v>
      </c>
      <c r="C15" s="426">
        <v>1</v>
      </c>
      <c r="D15" s="426" t="s">
        <v>451</v>
      </c>
      <c r="E15" s="427">
        <v>13000</v>
      </c>
      <c r="F15" s="428" t="s">
        <v>425</v>
      </c>
      <c r="G15" s="427">
        <f t="shared" si="1"/>
        <v>13000</v>
      </c>
      <c r="H15" s="425"/>
      <c r="I15" s="425"/>
    </row>
    <row r="16" spans="2:9" s="416" customFormat="1" ht="12">
      <c r="B16" s="425" t="s">
        <v>426</v>
      </c>
      <c r="C16" s="426">
        <v>1</v>
      </c>
      <c r="D16" s="426" t="s">
        <v>427</v>
      </c>
      <c r="E16" s="427">
        <v>50000</v>
      </c>
      <c r="F16" s="428" t="s">
        <v>428</v>
      </c>
      <c r="G16" s="427">
        <f t="shared" si="1"/>
        <v>50000</v>
      </c>
      <c r="H16" s="425"/>
      <c r="I16" s="425"/>
    </row>
    <row r="17" spans="2:9" s="416" customFormat="1" ht="12">
      <c r="B17" s="425" t="s">
        <v>429</v>
      </c>
      <c r="C17" s="426">
        <v>1</v>
      </c>
      <c r="D17" s="426" t="s">
        <v>430</v>
      </c>
      <c r="E17" s="427">
        <v>25000</v>
      </c>
      <c r="F17" s="428" t="s">
        <v>431</v>
      </c>
      <c r="G17" s="427">
        <f t="shared" si="1"/>
        <v>25000</v>
      </c>
      <c r="H17" s="425"/>
      <c r="I17" s="425"/>
    </row>
    <row r="18" spans="2:9" s="416" customFormat="1" ht="12">
      <c r="B18" s="425" t="s">
        <v>452</v>
      </c>
      <c r="C18" s="426">
        <v>1</v>
      </c>
      <c r="D18" s="426" t="s">
        <v>453</v>
      </c>
      <c r="E18" s="427">
        <v>7500</v>
      </c>
      <c r="F18" s="428" t="s">
        <v>454</v>
      </c>
      <c r="G18" s="427">
        <f t="shared" si="1"/>
        <v>7500</v>
      </c>
      <c r="H18" s="425"/>
      <c r="I18" s="425"/>
    </row>
    <row r="19" spans="2:9" s="416" customFormat="1" ht="12">
      <c r="B19" s="425" t="s">
        <v>455</v>
      </c>
      <c r="C19" s="426">
        <v>1</v>
      </c>
      <c r="D19" s="426" t="s">
        <v>433</v>
      </c>
      <c r="E19" s="427">
        <v>25000</v>
      </c>
      <c r="F19" s="428" t="s">
        <v>456</v>
      </c>
      <c r="G19" s="427">
        <f t="shared" si="1"/>
        <v>25000</v>
      </c>
      <c r="H19" s="425"/>
      <c r="I19" s="425"/>
    </row>
    <row r="20" spans="2:9" s="416" customFormat="1" ht="12">
      <c r="B20" s="425" t="s">
        <v>457</v>
      </c>
      <c r="C20" s="426">
        <v>1</v>
      </c>
      <c r="D20" s="426"/>
      <c r="E20" s="427">
        <v>150000</v>
      </c>
      <c r="F20" s="428" t="s">
        <v>458</v>
      </c>
      <c r="G20" s="427">
        <f t="shared" si="1"/>
        <v>150000</v>
      </c>
      <c r="H20" s="425"/>
      <c r="I20" s="425"/>
    </row>
    <row r="21" spans="2:9" s="416" customFormat="1" ht="12">
      <c r="B21" s="429" t="s">
        <v>437</v>
      </c>
      <c r="C21" s="430"/>
      <c r="D21" s="430"/>
      <c r="E21" s="431"/>
      <c r="F21" s="432"/>
      <c r="G21" s="433">
        <f>SUM(G9:G20)</f>
        <v>981300</v>
      </c>
      <c r="H21" s="434"/>
      <c r="I21" s="425"/>
    </row>
    <row r="22" spans="2:9" s="416" customFormat="1" ht="12">
      <c r="B22" s="435" t="s">
        <v>438</v>
      </c>
      <c r="C22" s="426"/>
      <c r="D22" s="426"/>
      <c r="E22" s="427"/>
      <c r="F22" s="425"/>
      <c r="G22" s="436">
        <f>G21+G6</f>
        <v>2222100</v>
      </c>
      <c r="H22" s="425"/>
      <c r="I22" s="425"/>
    </row>
    <row r="23" spans="2:9" s="416" customFormat="1" ht="12">
      <c r="B23" s="425" t="s">
        <v>114</v>
      </c>
      <c r="C23" s="437">
        <v>0.05</v>
      </c>
      <c r="D23" s="426"/>
      <c r="E23" s="427"/>
      <c r="F23" s="425"/>
      <c r="G23" s="436">
        <f>G22*C23</f>
        <v>111105</v>
      </c>
      <c r="H23" s="425"/>
      <c r="I23" s="425"/>
    </row>
    <row r="24" spans="2:9" s="416" customFormat="1" ht="12">
      <c r="B24" s="425" t="s">
        <v>439</v>
      </c>
      <c r="C24" s="437">
        <v>0.08</v>
      </c>
      <c r="D24" s="426"/>
      <c r="E24" s="427"/>
      <c r="F24" s="425"/>
      <c r="G24" s="436">
        <f>(G22+G23)*C24</f>
        <v>186656.4</v>
      </c>
      <c r="H24" s="425"/>
      <c r="I24" s="425"/>
    </row>
    <row r="25" spans="2:9" s="416" customFormat="1" ht="12">
      <c r="B25" s="429" t="s">
        <v>440</v>
      </c>
      <c r="C25" s="430"/>
      <c r="D25" s="430"/>
      <c r="E25" s="431"/>
      <c r="F25" s="432"/>
      <c r="G25" s="433">
        <f>G22+G23+G24</f>
        <v>2519861.4</v>
      </c>
      <c r="H25" s="709">
        <v>0.45120100653154982</v>
      </c>
      <c r="I25" s="425" t="s">
        <v>441</v>
      </c>
    </row>
    <row r="26" spans="2:9">
      <c r="B26" s="421"/>
      <c r="C26" s="439"/>
      <c r="D26" s="439"/>
      <c r="E26" s="439"/>
      <c r="F26" s="421"/>
      <c r="G26" s="439"/>
      <c r="H26" s="440">
        <f>G25/200</f>
        <v>12599.306999999999</v>
      </c>
      <c r="I26" s="425" t="s">
        <v>442</v>
      </c>
    </row>
    <row r="28" spans="2:9">
      <c r="G28" s="71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D0B5E-5302-4726-BCCD-6CE8A5EDA10F}">
  <dimension ref="A1:M119"/>
  <sheetViews>
    <sheetView view="pageBreakPreview" zoomScaleNormal="100" zoomScaleSheetLayoutView="100" workbookViewId="0">
      <pane xSplit="2" ySplit="7" topLeftCell="C13" activePane="bottomRight" state="frozen"/>
      <selection pane="topRight" activeCell="D30" sqref="D30"/>
      <selection pane="bottomLeft" activeCell="D30" sqref="D30"/>
      <selection pane="bottomRight" activeCell="N18" sqref="N18:N19"/>
    </sheetView>
  </sheetViews>
  <sheetFormatPr defaultColWidth="12.5" defaultRowHeight="15" customHeight="1"/>
  <cols>
    <col min="1" max="1" width="12.5" style="1165"/>
    <col min="2" max="2" width="6.5" style="1165" customWidth="1"/>
    <col min="3" max="3" width="11.125" style="1165" customWidth="1"/>
    <col min="4" max="4" width="8.625" style="1165" customWidth="1"/>
    <col min="5" max="5" width="13.25" style="1165" customWidth="1"/>
    <col min="6" max="6" width="10.125" style="1165" customWidth="1"/>
    <col min="7" max="7" width="13.125" style="1165" customWidth="1"/>
    <col min="8" max="8" width="14.625" style="1165" customWidth="1"/>
    <col min="9" max="12" width="9.625" style="1165" customWidth="1"/>
    <col min="13" max="16384" width="12.5" style="1165"/>
  </cols>
  <sheetData>
    <row r="1" spans="1:13" ht="15.75">
      <c r="B1" s="1160"/>
      <c r="C1" s="1161" t="s">
        <v>459</v>
      </c>
      <c r="D1" s="1160"/>
      <c r="E1" s="1162">
        <f>'Inputs &amp; Assumptions'!V29</f>
        <v>12000000</v>
      </c>
      <c r="F1" s="1160"/>
      <c r="G1" s="1160"/>
      <c r="H1" s="1163"/>
      <c r="I1" s="1164"/>
      <c r="J1" s="1164"/>
      <c r="K1" s="1164"/>
      <c r="L1" s="1164"/>
    </row>
    <row r="2" spans="1:13" ht="15.75">
      <c r="B2" s="1160"/>
      <c r="C2" s="1161" t="s">
        <v>460</v>
      </c>
      <c r="D2" s="1160"/>
      <c r="E2" s="1166">
        <v>0.08</v>
      </c>
      <c r="F2" s="1161"/>
      <c r="G2" s="1160"/>
      <c r="H2" s="1163"/>
      <c r="I2" s="1164"/>
      <c r="J2" s="1164"/>
      <c r="K2" s="1164"/>
      <c r="L2" s="1164"/>
    </row>
    <row r="3" spans="1:13" ht="15.75">
      <c r="B3" s="1160"/>
      <c r="C3" s="1161" t="s">
        <v>461</v>
      </c>
      <c r="D3" s="1160"/>
      <c r="E3" s="1166">
        <v>0.06</v>
      </c>
      <c r="F3" s="1161"/>
      <c r="G3" s="1160"/>
      <c r="H3" s="1160"/>
      <c r="I3" s="1164"/>
      <c r="J3" s="1164"/>
      <c r="K3" s="1164"/>
      <c r="L3" s="1164"/>
    </row>
    <row r="4" spans="1:13" ht="15.75">
      <c r="B4" s="1160"/>
      <c r="C4" s="1161"/>
      <c r="D4" s="1160"/>
      <c r="E4" s="1166"/>
      <c r="F4" s="1160"/>
      <c r="G4" s="1160"/>
      <c r="H4" s="1160"/>
      <c r="I4" s="1164"/>
      <c r="J4" s="1164"/>
      <c r="K4" s="1164"/>
      <c r="L4" s="1164"/>
    </row>
    <row r="5" spans="1:13" ht="15.75">
      <c r="B5" s="1160"/>
      <c r="C5" s="1161"/>
      <c r="D5" s="1160"/>
      <c r="E5" s="1167"/>
      <c r="F5" s="1166"/>
      <c r="G5" s="1160"/>
      <c r="H5" s="1160"/>
      <c r="I5" s="1164"/>
      <c r="J5" s="1164"/>
      <c r="K5" s="1164"/>
      <c r="L5" s="1164"/>
    </row>
    <row r="6" spans="1:13" ht="15.75">
      <c r="B6" s="1160"/>
      <c r="C6" s="1160"/>
      <c r="D6" s="1160"/>
      <c r="E6" s="1168"/>
      <c r="F6" s="1160"/>
      <c r="G6" s="1160"/>
      <c r="H6" s="1160"/>
      <c r="I6" s="1164"/>
      <c r="J6" s="1164"/>
      <c r="K6" s="1164"/>
      <c r="L6" s="1164"/>
    </row>
    <row r="7" spans="1:13" ht="42" customHeight="1">
      <c r="B7" s="1169"/>
      <c r="C7" s="1170" t="s">
        <v>462</v>
      </c>
      <c r="D7" s="1170" t="s">
        <v>463</v>
      </c>
      <c r="E7" s="1171" t="s">
        <v>464</v>
      </c>
      <c r="F7" s="1169" t="s">
        <v>465</v>
      </c>
      <c r="G7" s="1169" t="s">
        <v>466</v>
      </c>
      <c r="H7" s="1170" t="s">
        <v>467</v>
      </c>
      <c r="I7" s="1164"/>
      <c r="J7" s="1164"/>
      <c r="K7" s="1164"/>
      <c r="L7" s="1164"/>
      <c r="M7" s="1164"/>
    </row>
    <row r="8" spans="1:13" ht="15.75">
      <c r="A8" s="1165">
        <v>1</v>
      </c>
      <c r="B8" s="1160">
        <v>0</v>
      </c>
      <c r="C8" s="1172">
        <v>45292</v>
      </c>
      <c r="D8" s="1173">
        <v>0</v>
      </c>
      <c r="E8" s="1174">
        <v>0</v>
      </c>
      <c r="F8" s="1175">
        <v>0</v>
      </c>
      <c r="G8" s="1176">
        <f>+-E1</f>
        <v>-12000000</v>
      </c>
      <c r="H8" s="1175">
        <f>+G8*-1</f>
        <v>12000000</v>
      </c>
      <c r="I8" s="1164"/>
      <c r="J8" s="1164"/>
      <c r="K8" s="1164"/>
      <c r="L8" s="1164"/>
      <c r="M8" s="1164"/>
    </row>
    <row r="9" spans="1:13" ht="15.75">
      <c r="A9" s="1165">
        <v>1</v>
      </c>
      <c r="B9" s="1177">
        <v>1</v>
      </c>
      <c r="C9" s="1172">
        <v>45323</v>
      </c>
      <c r="D9" s="1178">
        <f t="shared" ref="D9:D44" si="0">C9-C8</f>
        <v>31</v>
      </c>
      <c r="E9" s="1174">
        <f t="shared" ref="E9:E44" si="1">H8*$E$2*D9/360</f>
        <v>82666.666666666672</v>
      </c>
      <c r="F9" s="1175">
        <f t="shared" ref="F9:F44" si="2">H8*$E$3*D9/360</f>
        <v>62000</v>
      </c>
      <c r="G9" s="1176">
        <f t="shared" ref="G9:G44" si="3">-E9</f>
        <v>-82666.666666666672</v>
      </c>
      <c r="H9" s="1179">
        <f t="shared" ref="H9:H43" si="4">H8+SUM(E9:G9)</f>
        <v>12062000</v>
      </c>
      <c r="I9" s="1164"/>
      <c r="J9" s="1164"/>
      <c r="K9" s="1164"/>
      <c r="L9" s="1164"/>
      <c r="M9" s="1164"/>
    </row>
    <row r="10" spans="1:13" ht="15.75">
      <c r="A10" s="1165">
        <v>1</v>
      </c>
      <c r="B10" s="1177">
        <f t="shared" ref="B10:B44" si="5">+B9+1</f>
        <v>2</v>
      </c>
      <c r="C10" s="1172">
        <v>45352</v>
      </c>
      <c r="D10" s="1178">
        <f t="shared" si="0"/>
        <v>29</v>
      </c>
      <c r="E10" s="1174">
        <f t="shared" si="1"/>
        <v>77732.888888888891</v>
      </c>
      <c r="F10" s="1175">
        <f t="shared" si="2"/>
        <v>58299.666666666664</v>
      </c>
      <c r="G10" s="1176">
        <f t="shared" si="3"/>
        <v>-77732.888888888891</v>
      </c>
      <c r="H10" s="1179">
        <f t="shared" si="4"/>
        <v>12120299.666666666</v>
      </c>
      <c r="I10" s="1164"/>
      <c r="J10" s="1164"/>
      <c r="K10" s="1164"/>
      <c r="L10" s="1164"/>
      <c r="M10" s="1164"/>
    </row>
    <row r="11" spans="1:13" ht="15.75">
      <c r="A11" s="1165">
        <v>1</v>
      </c>
      <c r="B11" s="1177">
        <f t="shared" si="5"/>
        <v>3</v>
      </c>
      <c r="C11" s="1172">
        <v>45383</v>
      </c>
      <c r="D11" s="1178">
        <f t="shared" si="0"/>
        <v>31</v>
      </c>
      <c r="E11" s="1174">
        <f t="shared" si="1"/>
        <v>83495.397703703697</v>
      </c>
      <c r="F11" s="1175">
        <f t="shared" si="2"/>
        <v>62621.548277777772</v>
      </c>
      <c r="G11" s="1176">
        <f t="shared" si="3"/>
        <v>-83495.397703703697</v>
      </c>
      <c r="H11" s="1179">
        <f t="shared" si="4"/>
        <v>12182921.214944445</v>
      </c>
      <c r="I11" s="1164"/>
      <c r="J11" s="1164"/>
      <c r="K11" s="1164"/>
      <c r="L11" s="1164"/>
      <c r="M11" s="1164"/>
    </row>
    <row r="12" spans="1:13" ht="15.75">
      <c r="A12" s="1165">
        <v>1</v>
      </c>
      <c r="B12" s="1177">
        <f t="shared" si="5"/>
        <v>4</v>
      </c>
      <c r="C12" s="1172">
        <v>45413</v>
      </c>
      <c r="D12" s="1178">
        <f t="shared" si="0"/>
        <v>30</v>
      </c>
      <c r="E12" s="1174">
        <f t="shared" si="1"/>
        <v>81219.474766296291</v>
      </c>
      <c r="F12" s="1175">
        <f t="shared" si="2"/>
        <v>60914.606074722222</v>
      </c>
      <c r="G12" s="1176">
        <f t="shared" si="3"/>
        <v>-81219.474766296291</v>
      </c>
      <c r="H12" s="1179">
        <f t="shared" si="4"/>
        <v>12243835.821019167</v>
      </c>
      <c r="I12" s="1164"/>
      <c r="J12" s="1164"/>
      <c r="K12" s="1164"/>
      <c r="L12" s="1164"/>
      <c r="M12" s="1164"/>
    </row>
    <row r="13" spans="1:13" ht="15.75">
      <c r="A13" s="1165">
        <v>1</v>
      </c>
      <c r="B13" s="1177">
        <f t="shared" si="5"/>
        <v>5</v>
      </c>
      <c r="C13" s="1172">
        <v>45444</v>
      </c>
      <c r="D13" s="1178">
        <f t="shared" si="0"/>
        <v>31</v>
      </c>
      <c r="E13" s="1174">
        <f t="shared" si="1"/>
        <v>84346.424544798705</v>
      </c>
      <c r="F13" s="1175">
        <f t="shared" si="2"/>
        <v>63259.818408599029</v>
      </c>
      <c r="G13" s="1167">
        <f t="shared" si="3"/>
        <v>-84346.424544798705</v>
      </c>
      <c r="H13" s="1179">
        <f t="shared" si="4"/>
        <v>12307095.639427766</v>
      </c>
      <c r="I13" s="1164"/>
      <c r="J13" s="1164"/>
      <c r="K13" s="1164"/>
      <c r="L13" s="1164"/>
      <c r="M13" s="1164"/>
    </row>
    <row r="14" spans="1:13" ht="15.75">
      <c r="A14" s="1165">
        <v>1</v>
      </c>
      <c r="B14" s="1177">
        <f t="shared" si="5"/>
        <v>6</v>
      </c>
      <c r="C14" s="1172">
        <v>45474</v>
      </c>
      <c r="D14" s="1178">
        <f t="shared" si="0"/>
        <v>30</v>
      </c>
      <c r="E14" s="1174">
        <f t="shared" si="1"/>
        <v>82047.304262851772</v>
      </c>
      <c r="F14" s="1175">
        <f t="shared" si="2"/>
        <v>61535.478197138829</v>
      </c>
      <c r="G14" s="1167">
        <f t="shared" si="3"/>
        <v>-82047.304262851772</v>
      </c>
      <c r="H14" s="1179">
        <f t="shared" si="4"/>
        <v>12368631.117624905</v>
      </c>
      <c r="I14" s="1164"/>
      <c r="J14" s="1164"/>
      <c r="K14" s="1164"/>
      <c r="L14" s="1164"/>
      <c r="M14" s="1164"/>
    </row>
    <row r="15" spans="1:13" ht="15.75">
      <c r="A15" s="1165">
        <v>1</v>
      </c>
      <c r="B15" s="1177">
        <f t="shared" si="5"/>
        <v>7</v>
      </c>
      <c r="C15" s="1172">
        <v>45505</v>
      </c>
      <c r="D15" s="1178">
        <f t="shared" si="0"/>
        <v>31</v>
      </c>
      <c r="E15" s="1174">
        <f t="shared" si="1"/>
        <v>85206.125476971574</v>
      </c>
      <c r="F15" s="1175">
        <f t="shared" si="2"/>
        <v>63904.59410772867</v>
      </c>
      <c r="G15" s="1167">
        <f t="shared" si="3"/>
        <v>-85206.125476971574</v>
      </c>
      <c r="H15" s="1180">
        <f t="shared" si="4"/>
        <v>12432535.711732633</v>
      </c>
      <c r="I15" s="1164"/>
      <c r="J15" s="1164"/>
      <c r="K15" s="1164"/>
      <c r="L15" s="1164"/>
      <c r="M15" s="1164"/>
    </row>
    <row r="16" spans="1:13" ht="15.75">
      <c r="A16" s="1165">
        <v>1</v>
      </c>
      <c r="B16" s="1177">
        <f t="shared" si="5"/>
        <v>8</v>
      </c>
      <c r="C16" s="1172">
        <v>45536</v>
      </c>
      <c r="D16" s="1178">
        <f t="shared" si="0"/>
        <v>31</v>
      </c>
      <c r="E16" s="1174">
        <f t="shared" si="1"/>
        <v>85646.357125269249</v>
      </c>
      <c r="F16" s="1175">
        <f t="shared" si="2"/>
        <v>64234.767843951937</v>
      </c>
      <c r="G16" s="1167">
        <f t="shared" si="3"/>
        <v>-85646.357125269249</v>
      </c>
      <c r="H16" s="1180">
        <f t="shared" si="4"/>
        <v>12496770.479576586</v>
      </c>
      <c r="I16" s="1164"/>
      <c r="J16" s="1164"/>
      <c r="K16" s="1164"/>
      <c r="L16" s="1164"/>
      <c r="M16" s="1164"/>
    </row>
    <row r="17" spans="1:13" ht="15.75">
      <c r="A17" s="1165">
        <v>1</v>
      </c>
      <c r="B17" s="1177">
        <f t="shared" si="5"/>
        <v>9</v>
      </c>
      <c r="C17" s="1172">
        <v>45566</v>
      </c>
      <c r="D17" s="1178">
        <f t="shared" si="0"/>
        <v>30</v>
      </c>
      <c r="E17" s="1174">
        <f t="shared" si="1"/>
        <v>83311.803197177243</v>
      </c>
      <c r="F17" s="1175">
        <f t="shared" si="2"/>
        <v>62483.852397882918</v>
      </c>
      <c r="G17" s="1167">
        <f t="shared" si="3"/>
        <v>-83311.803197177243</v>
      </c>
      <c r="H17" s="1180">
        <f t="shared" si="4"/>
        <v>12559254.331974469</v>
      </c>
      <c r="I17" s="1164"/>
      <c r="J17" s="1164"/>
      <c r="K17" s="1164"/>
      <c r="L17" s="1164"/>
      <c r="M17" s="1164"/>
    </row>
    <row r="18" spans="1:13" ht="15.75" customHeight="1">
      <c r="A18" s="1165">
        <v>1</v>
      </c>
      <c r="B18" s="1177">
        <f t="shared" si="5"/>
        <v>10</v>
      </c>
      <c r="C18" s="1172">
        <v>45597</v>
      </c>
      <c r="D18" s="1178">
        <f t="shared" si="0"/>
        <v>31</v>
      </c>
      <c r="E18" s="1174">
        <f t="shared" si="1"/>
        <v>86519.307620268577</v>
      </c>
      <c r="F18" s="1175">
        <f t="shared" si="2"/>
        <v>64889.480715201425</v>
      </c>
      <c r="G18" s="1167">
        <f t="shared" si="3"/>
        <v>-86519.307620268577</v>
      </c>
      <c r="H18" s="1180">
        <f t="shared" si="4"/>
        <v>12624143.812689671</v>
      </c>
      <c r="I18" s="1164"/>
      <c r="J18" s="1164"/>
      <c r="K18" s="1164"/>
      <c r="L18" s="1164"/>
      <c r="M18" s="1164"/>
    </row>
    <row r="19" spans="1:13" ht="15.75" customHeight="1">
      <c r="A19" s="1165">
        <v>1</v>
      </c>
      <c r="B19" s="1177">
        <f t="shared" si="5"/>
        <v>11</v>
      </c>
      <c r="C19" s="1172">
        <v>45627</v>
      </c>
      <c r="D19" s="1178">
        <f t="shared" si="0"/>
        <v>30</v>
      </c>
      <c r="E19" s="1174">
        <f t="shared" si="1"/>
        <v>84160.958751264479</v>
      </c>
      <c r="F19" s="1175">
        <f t="shared" si="2"/>
        <v>63120.719063448349</v>
      </c>
      <c r="G19" s="1167">
        <f t="shared" si="3"/>
        <v>-84160.958751264479</v>
      </c>
      <c r="H19" s="1180">
        <f t="shared" si="4"/>
        <v>12687264.531753119</v>
      </c>
      <c r="I19" s="1164"/>
      <c r="J19" s="1164"/>
      <c r="K19" s="1164"/>
      <c r="L19" s="1164"/>
      <c r="M19" s="1164"/>
    </row>
    <row r="20" spans="1:13" ht="15.75" customHeight="1" thickBot="1">
      <c r="A20" s="1165">
        <v>1</v>
      </c>
      <c r="B20" s="1181">
        <f t="shared" si="5"/>
        <v>12</v>
      </c>
      <c r="C20" s="1182">
        <v>45658</v>
      </c>
      <c r="D20" s="1183">
        <f t="shared" si="0"/>
        <v>31</v>
      </c>
      <c r="E20" s="1184">
        <f t="shared" si="1"/>
        <v>87401.155663188154</v>
      </c>
      <c r="F20" s="1185">
        <f t="shared" si="2"/>
        <v>65550.866747391119</v>
      </c>
      <c r="G20" s="1186">
        <f t="shared" si="3"/>
        <v>-87401.155663188154</v>
      </c>
      <c r="H20" s="1187">
        <f t="shared" si="4"/>
        <v>12752815.39850051</v>
      </c>
      <c r="I20" s="1164"/>
      <c r="J20" s="1164"/>
      <c r="K20" s="1164"/>
      <c r="L20" s="1164"/>
      <c r="M20" s="1164"/>
    </row>
    <row r="21" spans="1:13" ht="15.75" customHeight="1">
      <c r="A21" s="1165">
        <v>2</v>
      </c>
      <c r="B21" s="1177">
        <f t="shared" si="5"/>
        <v>13</v>
      </c>
      <c r="C21" s="1172">
        <v>45689</v>
      </c>
      <c r="D21" s="1178">
        <f t="shared" si="0"/>
        <v>31</v>
      </c>
      <c r="E21" s="1174">
        <f t="shared" si="1"/>
        <v>87852.728300781295</v>
      </c>
      <c r="F21" s="1175">
        <f t="shared" si="2"/>
        <v>65889.54622558596</v>
      </c>
      <c r="G21" s="1167">
        <f t="shared" si="3"/>
        <v>-87852.728300781295</v>
      </c>
      <c r="H21" s="1180">
        <f t="shared" si="4"/>
        <v>12818704.944726095</v>
      </c>
      <c r="I21" s="1164"/>
      <c r="J21" s="1164"/>
      <c r="K21" s="1164"/>
      <c r="L21" s="1164"/>
      <c r="M21" s="1164"/>
    </row>
    <row r="22" spans="1:13" ht="15.75" customHeight="1">
      <c r="A22" s="1165">
        <v>2</v>
      </c>
      <c r="B22" s="1177">
        <f t="shared" si="5"/>
        <v>14</v>
      </c>
      <c r="C22" s="1172">
        <v>45717</v>
      </c>
      <c r="D22" s="1178">
        <f t="shared" si="0"/>
        <v>28</v>
      </c>
      <c r="E22" s="1174">
        <f t="shared" si="1"/>
        <v>79760.830767184583</v>
      </c>
      <c r="F22" s="1175">
        <f t="shared" si="2"/>
        <v>59820.623075388437</v>
      </c>
      <c r="G22" s="1167">
        <f t="shared" si="3"/>
        <v>-79760.830767184583</v>
      </c>
      <c r="H22" s="1180">
        <f t="shared" si="4"/>
        <v>12878525.567801483</v>
      </c>
      <c r="I22" s="1164"/>
      <c r="J22" s="1164"/>
      <c r="K22" s="1164"/>
      <c r="L22" s="1164"/>
      <c r="M22" s="1164"/>
    </row>
    <row r="23" spans="1:13" ht="15.75" customHeight="1">
      <c r="A23" s="1165">
        <v>2</v>
      </c>
      <c r="B23" s="1177">
        <f t="shared" si="5"/>
        <v>15</v>
      </c>
      <c r="C23" s="1172">
        <v>45748</v>
      </c>
      <c r="D23" s="1178">
        <f t="shared" si="0"/>
        <v>31</v>
      </c>
      <c r="E23" s="1174">
        <f t="shared" si="1"/>
        <v>88718.731689299108</v>
      </c>
      <c r="F23" s="1175">
        <f t="shared" si="2"/>
        <v>66539.048766974331</v>
      </c>
      <c r="G23" s="1167">
        <f t="shared" si="3"/>
        <v>-88718.731689299108</v>
      </c>
      <c r="H23" s="1180">
        <f t="shared" si="4"/>
        <v>12945064.616568457</v>
      </c>
      <c r="I23" s="1164"/>
      <c r="J23" s="1164"/>
      <c r="K23" s="1164"/>
      <c r="L23" s="1164"/>
      <c r="M23" s="1164"/>
    </row>
    <row r="24" spans="1:13" ht="15.75" customHeight="1">
      <c r="A24" s="1165">
        <v>2</v>
      </c>
      <c r="B24" s="1177">
        <f t="shared" si="5"/>
        <v>16</v>
      </c>
      <c r="C24" s="1172">
        <v>45778</v>
      </c>
      <c r="D24" s="1178">
        <f t="shared" si="0"/>
        <v>30</v>
      </c>
      <c r="E24" s="1174">
        <f t="shared" si="1"/>
        <v>86300.430777123052</v>
      </c>
      <c r="F24" s="1175">
        <f t="shared" si="2"/>
        <v>64725.323082842282</v>
      </c>
      <c r="G24" s="1167">
        <f t="shared" si="3"/>
        <v>-86300.430777123052</v>
      </c>
      <c r="H24" s="1180">
        <f t="shared" si="4"/>
        <v>13009789.939651299</v>
      </c>
      <c r="I24" s="1164"/>
      <c r="J24" s="1164"/>
      <c r="K24" s="1164"/>
      <c r="L24" s="1164"/>
      <c r="M24" s="1164"/>
    </row>
    <row r="25" spans="1:13" ht="15.75" customHeight="1">
      <c r="A25" s="1165">
        <v>2</v>
      </c>
      <c r="B25" s="1177">
        <f t="shared" si="5"/>
        <v>17</v>
      </c>
      <c r="C25" s="1172">
        <v>45809</v>
      </c>
      <c r="D25" s="1178">
        <f t="shared" si="0"/>
        <v>31</v>
      </c>
      <c r="E25" s="1174">
        <f t="shared" si="1"/>
        <v>89622.997362042282</v>
      </c>
      <c r="F25" s="1175">
        <f t="shared" si="2"/>
        <v>67217.248021531705</v>
      </c>
      <c r="G25" s="1167">
        <f t="shared" si="3"/>
        <v>-89622.997362042282</v>
      </c>
      <c r="H25" s="1180">
        <f t="shared" si="4"/>
        <v>13077007.187672831</v>
      </c>
      <c r="I25" s="1164"/>
      <c r="J25" s="1164"/>
      <c r="K25" s="1164"/>
      <c r="L25" s="1164"/>
      <c r="M25" s="1164"/>
    </row>
    <row r="26" spans="1:13" ht="15.75" customHeight="1">
      <c r="A26" s="1165">
        <v>2</v>
      </c>
      <c r="B26" s="1177">
        <f t="shared" si="5"/>
        <v>18</v>
      </c>
      <c r="C26" s="1172">
        <v>45839</v>
      </c>
      <c r="D26" s="1178">
        <f t="shared" si="0"/>
        <v>30</v>
      </c>
      <c r="E26" s="1174">
        <f t="shared" si="1"/>
        <v>87180.047917818883</v>
      </c>
      <c r="F26" s="1175">
        <f t="shared" si="2"/>
        <v>65385.035938364155</v>
      </c>
      <c r="G26" s="1167">
        <f t="shared" si="3"/>
        <v>-87180.047917818883</v>
      </c>
      <c r="H26" s="1180">
        <f t="shared" si="4"/>
        <v>13142392.223611195</v>
      </c>
      <c r="I26" s="1164"/>
      <c r="J26" s="1164"/>
      <c r="K26" s="1164"/>
      <c r="L26" s="1164"/>
      <c r="M26" s="1164"/>
    </row>
    <row r="27" spans="1:13" ht="15.75" customHeight="1">
      <c r="A27" s="1165">
        <v>2</v>
      </c>
      <c r="B27" s="1177">
        <f t="shared" si="5"/>
        <v>19</v>
      </c>
      <c r="C27" s="1172">
        <v>45870</v>
      </c>
      <c r="D27" s="1178">
        <f t="shared" si="0"/>
        <v>31</v>
      </c>
      <c r="E27" s="1174">
        <f t="shared" si="1"/>
        <v>90536.479762654897</v>
      </c>
      <c r="F27" s="1175">
        <f t="shared" si="2"/>
        <v>67902.359821991166</v>
      </c>
      <c r="G27" s="1167">
        <f t="shared" si="3"/>
        <v>-90536.479762654897</v>
      </c>
      <c r="H27" s="1180">
        <f t="shared" si="4"/>
        <v>13210294.583433187</v>
      </c>
      <c r="I27" s="1164"/>
      <c r="J27" s="1164"/>
      <c r="K27" s="1164"/>
      <c r="L27" s="1164"/>
      <c r="M27" s="1164"/>
    </row>
    <row r="28" spans="1:13" ht="15.75" customHeight="1">
      <c r="A28" s="1165">
        <v>2</v>
      </c>
      <c r="B28" s="1177">
        <f t="shared" si="5"/>
        <v>20</v>
      </c>
      <c r="C28" s="1172">
        <v>45901</v>
      </c>
      <c r="D28" s="1178">
        <f t="shared" si="0"/>
        <v>31</v>
      </c>
      <c r="E28" s="1174">
        <f t="shared" si="1"/>
        <v>91004.251574761947</v>
      </c>
      <c r="F28" s="1175">
        <f t="shared" si="2"/>
        <v>68253.188681071464</v>
      </c>
      <c r="G28" s="1167">
        <f t="shared" si="3"/>
        <v>-91004.251574761947</v>
      </c>
      <c r="H28" s="1180">
        <f t="shared" si="4"/>
        <v>13278547.772114258</v>
      </c>
      <c r="I28" s="1164"/>
      <c r="J28" s="1164"/>
      <c r="K28" s="1164"/>
      <c r="L28" s="1164"/>
      <c r="M28" s="1164"/>
    </row>
    <row r="29" spans="1:13" ht="15.75" customHeight="1">
      <c r="A29" s="1165">
        <v>2</v>
      </c>
      <c r="B29" s="1177">
        <f t="shared" si="5"/>
        <v>21</v>
      </c>
      <c r="C29" s="1172">
        <v>45931</v>
      </c>
      <c r="D29" s="1178">
        <f t="shared" si="0"/>
        <v>30</v>
      </c>
      <c r="E29" s="1174">
        <f t="shared" si="1"/>
        <v>88523.65181409505</v>
      </c>
      <c r="F29" s="1175">
        <f t="shared" si="2"/>
        <v>66392.738860571291</v>
      </c>
      <c r="G29" s="1167">
        <f t="shared" si="3"/>
        <v>-88523.65181409505</v>
      </c>
      <c r="H29" s="1180">
        <f t="shared" si="4"/>
        <v>13344940.51097483</v>
      </c>
      <c r="I29" s="1164"/>
      <c r="J29" s="1164"/>
      <c r="K29" s="1164"/>
      <c r="L29" s="1164"/>
      <c r="M29" s="1164"/>
    </row>
    <row r="30" spans="1:13" ht="15.75" customHeight="1">
      <c r="A30" s="1165">
        <v>2</v>
      </c>
      <c r="B30" s="1177">
        <f t="shared" si="5"/>
        <v>22</v>
      </c>
      <c r="C30" s="1172">
        <v>45962</v>
      </c>
      <c r="D30" s="1178">
        <f t="shared" si="0"/>
        <v>31</v>
      </c>
      <c r="E30" s="1174">
        <f t="shared" si="1"/>
        <v>91931.812408937723</v>
      </c>
      <c r="F30" s="1175">
        <f t="shared" si="2"/>
        <v>68948.859306703293</v>
      </c>
      <c r="G30" s="1167">
        <f t="shared" si="3"/>
        <v>-91931.812408937723</v>
      </c>
      <c r="H30" s="1180">
        <f t="shared" si="4"/>
        <v>13413889.370281532</v>
      </c>
      <c r="I30" s="1164"/>
      <c r="J30" s="1164"/>
      <c r="K30" s="1164"/>
      <c r="L30" s="1164"/>
      <c r="M30" s="1164"/>
    </row>
    <row r="31" spans="1:13" ht="15.75" customHeight="1">
      <c r="A31" s="1165">
        <v>2</v>
      </c>
      <c r="B31" s="1177">
        <f t="shared" si="5"/>
        <v>23</v>
      </c>
      <c r="C31" s="1172">
        <v>45992</v>
      </c>
      <c r="D31" s="1178">
        <f t="shared" si="0"/>
        <v>30</v>
      </c>
      <c r="E31" s="1174">
        <f t="shared" si="1"/>
        <v>89425.929135210215</v>
      </c>
      <c r="F31" s="1175">
        <f t="shared" si="2"/>
        <v>67069.446851407658</v>
      </c>
      <c r="G31" s="1167">
        <f t="shared" si="3"/>
        <v>-89425.929135210215</v>
      </c>
      <c r="H31" s="1167">
        <f t="shared" si="4"/>
        <v>13480958.817132941</v>
      </c>
      <c r="I31" s="1164"/>
      <c r="J31" s="1164"/>
      <c r="K31" s="1164"/>
      <c r="L31" s="1164"/>
      <c r="M31" s="1164"/>
    </row>
    <row r="32" spans="1:13" ht="15.75" customHeight="1" thickBot="1">
      <c r="A32" s="1165">
        <v>2</v>
      </c>
      <c r="B32" s="1181">
        <f t="shared" si="5"/>
        <v>24</v>
      </c>
      <c r="C32" s="1182">
        <v>46023</v>
      </c>
      <c r="D32" s="1183">
        <f t="shared" si="0"/>
        <v>31</v>
      </c>
      <c r="E32" s="1184">
        <f t="shared" si="1"/>
        <v>92868.827406915821</v>
      </c>
      <c r="F32" s="1185">
        <f t="shared" si="2"/>
        <v>69651.620555186862</v>
      </c>
      <c r="G32" s="1186">
        <f t="shared" si="3"/>
        <v>-92868.827406915821</v>
      </c>
      <c r="H32" s="1187">
        <f t="shared" si="4"/>
        <v>13550610.437688127</v>
      </c>
      <c r="I32" s="1164"/>
      <c r="J32" s="1164"/>
      <c r="K32" s="1164"/>
      <c r="L32" s="1164"/>
      <c r="M32" s="1164"/>
    </row>
    <row r="33" spans="1:13" ht="15.75" customHeight="1">
      <c r="A33" s="1165">
        <v>3</v>
      </c>
      <c r="B33" s="1177">
        <f t="shared" si="5"/>
        <v>25</v>
      </c>
      <c r="C33" s="1172">
        <v>46054</v>
      </c>
      <c r="D33" s="1178">
        <f t="shared" si="0"/>
        <v>31</v>
      </c>
      <c r="E33" s="1174">
        <f t="shared" si="1"/>
        <v>93348.64968185153</v>
      </c>
      <c r="F33" s="1175">
        <f t="shared" si="2"/>
        <v>70011.487261388655</v>
      </c>
      <c r="G33" s="1167">
        <f t="shared" si="3"/>
        <v>-93348.64968185153</v>
      </c>
      <c r="H33" s="1180">
        <f t="shared" si="4"/>
        <v>13620621.924949516</v>
      </c>
      <c r="I33" s="1164"/>
      <c r="J33" s="1164"/>
      <c r="K33" s="1164"/>
      <c r="L33" s="1164"/>
      <c r="M33" s="1164"/>
    </row>
    <row r="34" spans="1:13" ht="15.75" customHeight="1">
      <c r="A34" s="1165">
        <v>3</v>
      </c>
      <c r="B34" s="1177">
        <f t="shared" si="5"/>
        <v>26</v>
      </c>
      <c r="C34" s="1172">
        <v>46082</v>
      </c>
      <c r="D34" s="1178">
        <f t="shared" si="0"/>
        <v>28</v>
      </c>
      <c r="E34" s="1174">
        <f t="shared" si="1"/>
        <v>84750.536421908095</v>
      </c>
      <c r="F34" s="1175">
        <f t="shared" si="2"/>
        <v>63562.902316431071</v>
      </c>
      <c r="G34" s="1167">
        <f t="shared" si="3"/>
        <v>-84750.536421908095</v>
      </c>
      <c r="H34" s="1180">
        <f t="shared" si="4"/>
        <v>13684184.827265946</v>
      </c>
      <c r="I34" s="1164"/>
      <c r="J34" s="1164"/>
      <c r="K34" s="1164"/>
      <c r="L34" s="1164"/>
      <c r="M34" s="1164"/>
    </row>
    <row r="35" spans="1:13" ht="15.75" customHeight="1">
      <c r="A35" s="1165">
        <v>3</v>
      </c>
      <c r="B35" s="1177">
        <f t="shared" si="5"/>
        <v>27</v>
      </c>
      <c r="C35" s="1172">
        <v>46113</v>
      </c>
      <c r="D35" s="1178">
        <f t="shared" si="0"/>
        <v>31</v>
      </c>
      <c r="E35" s="1174">
        <f t="shared" si="1"/>
        <v>94268.828810054285</v>
      </c>
      <c r="F35" s="1175">
        <f t="shared" si="2"/>
        <v>70701.621607540714</v>
      </c>
      <c r="G35" s="1167">
        <f t="shared" si="3"/>
        <v>-94268.828810054285</v>
      </c>
      <c r="H35" s="1180">
        <f t="shared" si="4"/>
        <v>13754886.448873486</v>
      </c>
      <c r="I35" s="1164"/>
      <c r="J35" s="1164"/>
      <c r="K35" s="1164"/>
      <c r="L35" s="1164"/>
      <c r="M35" s="1164"/>
    </row>
    <row r="36" spans="1:13" ht="15.75" customHeight="1">
      <c r="A36" s="1165">
        <v>3</v>
      </c>
      <c r="B36" s="1177">
        <f t="shared" si="5"/>
        <v>28</v>
      </c>
      <c r="C36" s="1172">
        <v>46143</v>
      </c>
      <c r="D36" s="1178">
        <f t="shared" si="0"/>
        <v>30</v>
      </c>
      <c r="E36" s="1174">
        <f t="shared" si="1"/>
        <v>91699.242992489904</v>
      </c>
      <c r="F36" s="1175">
        <f t="shared" si="2"/>
        <v>68774.432244367432</v>
      </c>
      <c r="G36" s="1167">
        <f t="shared" si="3"/>
        <v>-91699.242992489904</v>
      </c>
      <c r="H36" s="1180">
        <f t="shared" si="4"/>
        <v>13823660.881117854</v>
      </c>
      <c r="I36" s="1164"/>
      <c r="J36" s="1164"/>
      <c r="K36" s="1164"/>
      <c r="L36" s="1164"/>
      <c r="M36" s="1164"/>
    </row>
    <row r="37" spans="1:13" ht="15.75" customHeight="1">
      <c r="A37" s="1165">
        <v>3</v>
      </c>
      <c r="B37" s="1177">
        <f t="shared" si="5"/>
        <v>29</v>
      </c>
      <c r="C37" s="1172">
        <v>46174</v>
      </c>
      <c r="D37" s="1178">
        <f t="shared" si="0"/>
        <v>31</v>
      </c>
      <c r="E37" s="1174">
        <f t="shared" si="1"/>
        <v>95229.66384770078</v>
      </c>
      <c r="F37" s="1175">
        <f t="shared" si="2"/>
        <v>71422.247885775578</v>
      </c>
      <c r="G37" s="1167">
        <f t="shared" si="3"/>
        <v>-95229.66384770078</v>
      </c>
      <c r="H37" s="1180">
        <f t="shared" si="4"/>
        <v>13895083.129003629</v>
      </c>
      <c r="I37" s="1164"/>
      <c r="J37" s="1164"/>
      <c r="K37" s="1164"/>
      <c r="L37" s="1164"/>
      <c r="M37" s="1164"/>
    </row>
    <row r="38" spans="1:13" ht="15.75" customHeight="1">
      <c r="A38" s="1165">
        <v>3</v>
      </c>
      <c r="B38" s="1177">
        <f t="shared" si="5"/>
        <v>30</v>
      </c>
      <c r="C38" s="1172">
        <v>46204</v>
      </c>
      <c r="D38" s="1178">
        <f t="shared" si="0"/>
        <v>30</v>
      </c>
      <c r="E38" s="1174">
        <f t="shared" si="1"/>
        <v>92633.887526690873</v>
      </c>
      <c r="F38" s="1175">
        <f t="shared" si="2"/>
        <v>69475.415645018133</v>
      </c>
      <c r="G38" s="1167">
        <f t="shared" si="3"/>
        <v>-92633.887526690873</v>
      </c>
      <c r="H38" s="1180">
        <f t="shared" si="4"/>
        <v>13964558.544648647</v>
      </c>
      <c r="I38" s="1164"/>
      <c r="J38" s="1164"/>
      <c r="K38" s="1164"/>
      <c r="L38" s="1164"/>
      <c r="M38" s="1164"/>
    </row>
    <row r="39" spans="1:13" ht="15.75" customHeight="1">
      <c r="A39" s="1165">
        <v>3</v>
      </c>
      <c r="B39" s="1177">
        <f t="shared" si="5"/>
        <v>31</v>
      </c>
      <c r="C39" s="1172">
        <v>46235</v>
      </c>
      <c r="D39" s="1178">
        <f t="shared" si="0"/>
        <v>31</v>
      </c>
      <c r="E39" s="1174">
        <f t="shared" si="1"/>
        <v>96200.292196468465</v>
      </c>
      <c r="F39" s="1175">
        <f t="shared" si="2"/>
        <v>72150.219147351338</v>
      </c>
      <c r="G39" s="1167">
        <f t="shared" si="3"/>
        <v>-96200.292196468465</v>
      </c>
      <c r="H39" s="1180">
        <f t="shared" si="4"/>
        <v>14036708.763795998</v>
      </c>
      <c r="I39" s="1164"/>
      <c r="J39" s="1164"/>
      <c r="K39" s="1164"/>
      <c r="L39" s="1164"/>
      <c r="M39" s="1164"/>
    </row>
    <row r="40" spans="1:13" ht="15.75" customHeight="1">
      <c r="A40" s="1165">
        <v>3</v>
      </c>
      <c r="B40" s="1177">
        <f t="shared" si="5"/>
        <v>32</v>
      </c>
      <c r="C40" s="1172">
        <v>46266</v>
      </c>
      <c r="D40" s="1178">
        <f t="shared" si="0"/>
        <v>31</v>
      </c>
      <c r="E40" s="1174">
        <f t="shared" si="1"/>
        <v>96697.327039483542</v>
      </c>
      <c r="F40" s="1175">
        <f t="shared" si="2"/>
        <v>72522.99527961266</v>
      </c>
      <c r="G40" s="1167">
        <f t="shared" si="3"/>
        <v>-96697.327039483542</v>
      </c>
      <c r="H40" s="1180">
        <f t="shared" si="4"/>
        <v>14109231.75907561</v>
      </c>
      <c r="I40" s="1164"/>
      <c r="J40" s="1164"/>
      <c r="K40" s="1164"/>
      <c r="L40" s="1164"/>
      <c r="M40" s="1164"/>
    </row>
    <row r="41" spans="1:13" ht="15.75" customHeight="1">
      <c r="A41" s="1165">
        <v>3</v>
      </c>
      <c r="B41" s="1177">
        <f t="shared" si="5"/>
        <v>33</v>
      </c>
      <c r="C41" s="1172">
        <v>46296</v>
      </c>
      <c r="D41" s="1178">
        <f t="shared" si="0"/>
        <v>30</v>
      </c>
      <c r="E41" s="1174">
        <f t="shared" si="1"/>
        <v>94061.545060504068</v>
      </c>
      <c r="F41" s="1175">
        <f t="shared" si="2"/>
        <v>70546.15879537804</v>
      </c>
      <c r="G41" s="1167">
        <f t="shared" si="3"/>
        <v>-94061.545060504068</v>
      </c>
      <c r="H41" s="1180">
        <f t="shared" si="4"/>
        <v>14179777.917870987</v>
      </c>
      <c r="I41" s="1164"/>
      <c r="J41" s="1164"/>
      <c r="K41" s="1164"/>
      <c r="L41" s="1164"/>
      <c r="M41" s="1164"/>
    </row>
    <row r="42" spans="1:13" ht="15.75" customHeight="1">
      <c r="A42" s="1165">
        <v>3</v>
      </c>
      <c r="B42" s="1177">
        <f t="shared" si="5"/>
        <v>34</v>
      </c>
      <c r="C42" s="1172">
        <v>46327</v>
      </c>
      <c r="D42" s="1178">
        <f t="shared" si="0"/>
        <v>31</v>
      </c>
      <c r="E42" s="1174">
        <f t="shared" si="1"/>
        <v>97682.914545333464</v>
      </c>
      <c r="F42" s="1175">
        <f t="shared" si="2"/>
        <v>73262.185909000094</v>
      </c>
      <c r="G42" s="1167">
        <f t="shared" si="3"/>
        <v>-97682.914545333464</v>
      </c>
      <c r="H42" s="1180">
        <f t="shared" si="4"/>
        <v>14253040.103779987</v>
      </c>
      <c r="I42" s="1164"/>
      <c r="J42" s="1164"/>
      <c r="K42" s="1164"/>
      <c r="L42" s="1164"/>
      <c r="M42" s="1164"/>
    </row>
    <row r="43" spans="1:13" ht="15.75" customHeight="1">
      <c r="A43" s="1165">
        <v>3</v>
      </c>
      <c r="B43" s="1177">
        <f t="shared" si="5"/>
        <v>35</v>
      </c>
      <c r="C43" s="1172">
        <v>46357</v>
      </c>
      <c r="D43" s="1178">
        <f t="shared" si="0"/>
        <v>30</v>
      </c>
      <c r="E43" s="1174">
        <f t="shared" si="1"/>
        <v>95020.267358533252</v>
      </c>
      <c r="F43" s="1175">
        <f t="shared" si="2"/>
        <v>71265.200518899932</v>
      </c>
      <c r="G43" s="1167">
        <f t="shared" si="3"/>
        <v>-95020.267358533252</v>
      </c>
      <c r="H43" s="1167">
        <f t="shared" si="4"/>
        <v>14324305.304298887</v>
      </c>
      <c r="I43" s="1164"/>
      <c r="J43" s="1164"/>
      <c r="K43" s="1164"/>
      <c r="L43" s="1164"/>
      <c r="M43" s="1164"/>
    </row>
    <row r="44" spans="1:13" ht="15.75" customHeight="1" thickBot="1">
      <c r="A44" s="1165">
        <v>3</v>
      </c>
      <c r="B44" s="1181">
        <f t="shared" si="5"/>
        <v>36</v>
      </c>
      <c r="C44" s="1172">
        <v>46388</v>
      </c>
      <c r="D44" s="1183">
        <f t="shared" si="0"/>
        <v>31</v>
      </c>
      <c r="E44" s="1184">
        <f t="shared" si="1"/>
        <v>98678.54765183678</v>
      </c>
      <c r="F44" s="1185">
        <f t="shared" si="2"/>
        <v>74008.910738877574</v>
      </c>
      <c r="G44" s="1186">
        <f t="shared" si="3"/>
        <v>-98678.54765183678</v>
      </c>
      <c r="H44" s="1187">
        <f>H43+SUM(E44:G44)+60000</f>
        <v>14458314.215037765</v>
      </c>
      <c r="I44" s="1164"/>
      <c r="J44" s="1164"/>
      <c r="K44" s="1164"/>
      <c r="L44" s="1164"/>
      <c r="M44" s="1164"/>
    </row>
    <row r="45" spans="1:13" ht="15.75" customHeight="1" thickBot="1">
      <c r="B45" s="1188" t="s">
        <v>468</v>
      </c>
      <c r="C45" s="1189">
        <v>46188</v>
      </c>
      <c r="D45" s="1190"/>
      <c r="E45" s="1191"/>
      <c r="F45" s="1191">
        <f>SUM(F8:F44)</f>
        <v>2398314.2150377692</v>
      </c>
      <c r="G45" s="1191"/>
      <c r="H45" s="1191"/>
      <c r="I45" s="1164"/>
      <c r="J45" s="1164"/>
      <c r="K45" s="1164"/>
      <c r="L45" s="1164"/>
      <c r="M45" s="1164"/>
    </row>
    <row r="46" spans="1:13" ht="15.75" customHeight="1">
      <c r="B46" s="1164"/>
      <c r="C46" s="1192"/>
      <c r="D46" s="1193"/>
      <c r="E46" s="1167"/>
      <c r="F46" s="1167"/>
      <c r="G46" s="1167"/>
      <c r="H46" s="1167"/>
      <c r="I46" s="1164"/>
      <c r="J46" s="1164"/>
      <c r="K46" s="1164"/>
      <c r="L46" s="1164"/>
      <c r="M46" s="1164"/>
    </row>
    <row r="47" spans="1:13" ht="15.75" customHeight="1">
      <c r="B47" s="1160"/>
      <c r="C47" s="1160"/>
      <c r="D47" s="1160"/>
      <c r="E47" s="1160"/>
      <c r="F47" s="1160"/>
      <c r="G47" s="1160"/>
      <c r="H47" s="1160"/>
      <c r="I47" s="1164"/>
      <c r="J47" s="1164"/>
      <c r="K47" s="1164"/>
      <c r="L47" s="1164"/>
    </row>
    <row r="48" spans="1:13" ht="15.75" customHeight="1">
      <c r="B48" s="1160"/>
      <c r="C48" s="1160"/>
      <c r="D48" s="1160"/>
      <c r="E48" s="1160"/>
      <c r="F48" s="1160"/>
      <c r="G48" s="1160"/>
      <c r="H48" s="1160"/>
      <c r="I48" s="1164"/>
      <c r="J48" s="1164"/>
      <c r="K48" s="1164"/>
      <c r="L48" s="1164"/>
    </row>
    <row r="49" spans="2:12" ht="15.75" customHeight="1">
      <c r="B49" s="1160"/>
      <c r="C49" s="1160"/>
      <c r="D49" s="1160"/>
      <c r="E49" s="1160"/>
      <c r="F49" s="1160"/>
      <c r="G49" s="1160"/>
      <c r="H49" s="1160"/>
      <c r="I49" s="1164"/>
      <c r="J49" s="1164"/>
      <c r="K49" s="1164"/>
      <c r="L49" s="1164"/>
    </row>
    <row r="50" spans="2:12" ht="15.75" customHeight="1">
      <c r="B50" s="1160"/>
      <c r="C50" s="1160"/>
      <c r="D50" s="1160"/>
      <c r="E50" s="1160"/>
      <c r="F50" s="1160"/>
      <c r="G50" s="1160"/>
      <c r="H50" s="1160"/>
      <c r="I50" s="1164"/>
      <c r="J50" s="1164"/>
      <c r="K50" s="1164"/>
      <c r="L50" s="1164"/>
    </row>
    <row r="51" spans="2:12" ht="15.75" customHeight="1">
      <c r="B51" s="1160"/>
      <c r="C51" s="1160"/>
      <c r="D51" s="1160"/>
      <c r="E51" s="1160"/>
      <c r="F51" s="1160"/>
      <c r="G51" s="1160"/>
      <c r="H51" s="1160"/>
      <c r="I51" s="1164"/>
      <c r="J51" s="1164"/>
      <c r="K51" s="1164"/>
      <c r="L51" s="1164"/>
    </row>
    <row r="52" spans="2:12" ht="15.75" customHeight="1">
      <c r="B52" s="1160"/>
      <c r="C52" s="1160"/>
      <c r="D52" s="1160"/>
      <c r="E52" s="1160"/>
      <c r="F52" s="1160"/>
      <c r="G52" s="1160"/>
      <c r="H52" s="1160"/>
      <c r="I52" s="1164"/>
      <c r="J52" s="1164"/>
      <c r="K52" s="1164"/>
      <c r="L52" s="1164"/>
    </row>
    <row r="53" spans="2:12" ht="15.75" customHeight="1">
      <c r="B53" s="1160"/>
      <c r="C53" s="1160"/>
      <c r="D53" s="1160"/>
      <c r="E53" s="1160"/>
      <c r="F53" s="1160"/>
      <c r="G53" s="1160"/>
      <c r="H53" s="1160"/>
      <c r="I53" s="1164"/>
      <c r="J53" s="1164"/>
      <c r="K53" s="1164"/>
      <c r="L53" s="1164"/>
    </row>
    <row r="54" spans="2:12" ht="15.75" customHeight="1">
      <c r="B54" s="1160"/>
      <c r="C54" s="1160"/>
      <c r="D54" s="1160"/>
      <c r="E54" s="1160"/>
      <c r="F54" s="1160"/>
      <c r="G54" s="1160"/>
      <c r="H54" s="1160"/>
      <c r="I54" s="1164"/>
      <c r="J54" s="1164"/>
      <c r="K54" s="1164"/>
      <c r="L54" s="1164"/>
    </row>
    <row r="55" spans="2:12" ht="15.75" customHeight="1">
      <c r="B55" s="1160"/>
      <c r="C55" s="1160"/>
      <c r="D55" s="1160"/>
      <c r="E55" s="1160"/>
      <c r="F55" s="1160"/>
      <c r="G55" s="1160"/>
      <c r="H55" s="1160"/>
      <c r="I55" s="1164"/>
      <c r="J55" s="1164"/>
      <c r="K55" s="1164"/>
      <c r="L55" s="1164"/>
    </row>
    <row r="56" spans="2:12" ht="15.75" customHeight="1">
      <c r="B56" s="1160"/>
      <c r="C56" s="1160"/>
      <c r="D56" s="1160"/>
      <c r="E56" s="1160"/>
      <c r="F56" s="1160"/>
      <c r="G56" s="1160"/>
      <c r="H56" s="1160"/>
      <c r="I56" s="1164"/>
      <c r="J56" s="1164"/>
      <c r="K56" s="1164"/>
      <c r="L56" s="1164"/>
    </row>
    <row r="57" spans="2:12" ht="15.75" customHeight="1">
      <c r="B57" s="1160"/>
      <c r="C57" s="1160"/>
      <c r="D57" s="1160"/>
      <c r="E57" s="1160"/>
      <c r="F57" s="1160"/>
      <c r="G57" s="1160"/>
      <c r="H57" s="1160"/>
      <c r="I57" s="1164"/>
      <c r="J57" s="1164"/>
      <c r="K57" s="1164"/>
      <c r="L57" s="1164"/>
    </row>
    <row r="58" spans="2:12" ht="15.75" customHeight="1">
      <c r="B58" s="1160"/>
      <c r="C58" s="1160"/>
      <c r="D58" s="1160"/>
      <c r="E58" s="1160"/>
      <c r="F58" s="1160"/>
      <c r="G58" s="1160"/>
      <c r="H58" s="1160"/>
      <c r="I58" s="1164"/>
      <c r="J58" s="1164"/>
      <c r="K58" s="1164"/>
      <c r="L58" s="1164"/>
    </row>
    <row r="59" spans="2:12" ht="15.75" customHeight="1">
      <c r="B59" s="1160"/>
      <c r="C59" s="1160"/>
      <c r="D59" s="1160"/>
      <c r="E59" s="1160"/>
      <c r="F59" s="1160"/>
      <c r="G59" s="1160"/>
      <c r="H59" s="1160"/>
      <c r="I59" s="1164"/>
      <c r="J59" s="1164"/>
      <c r="K59" s="1164"/>
      <c r="L59" s="1164"/>
    </row>
    <row r="60" spans="2:12" ht="15.75" customHeight="1">
      <c r="B60" s="1160"/>
      <c r="C60" s="1160"/>
      <c r="D60" s="1160"/>
      <c r="E60" s="1160"/>
      <c r="F60" s="1160"/>
      <c r="G60" s="1160"/>
      <c r="H60" s="1160"/>
      <c r="I60" s="1164"/>
      <c r="J60" s="1164"/>
      <c r="K60" s="1164"/>
      <c r="L60" s="1164"/>
    </row>
    <row r="61" spans="2:12" ht="15.75" customHeight="1">
      <c r="B61" s="1160"/>
      <c r="C61" s="1160"/>
      <c r="D61" s="1160"/>
      <c r="E61" s="1160"/>
      <c r="F61" s="1160"/>
      <c r="G61" s="1160"/>
      <c r="H61" s="1160"/>
      <c r="I61" s="1164"/>
      <c r="J61" s="1164"/>
      <c r="K61" s="1164"/>
      <c r="L61" s="1164"/>
    </row>
    <row r="62" spans="2:12" ht="15.75" customHeight="1">
      <c r="B62" s="1160"/>
      <c r="C62" s="1160"/>
      <c r="D62" s="1160"/>
      <c r="E62" s="1160"/>
      <c r="F62" s="1160"/>
      <c r="G62" s="1160"/>
      <c r="H62" s="1160"/>
      <c r="I62" s="1164"/>
      <c r="J62" s="1164"/>
      <c r="K62" s="1164"/>
      <c r="L62" s="1164"/>
    </row>
    <row r="63" spans="2:12" ht="15.75" customHeight="1">
      <c r="B63" s="1160"/>
      <c r="C63" s="1160"/>
      <c r="D63" s="1160"/>
      <c r="E63" s="1160"/>
      <c r="F63" s="1160"/>
      <c r="G63" s="1160"/>
      <c r="H63" s="1160"/>
      <c r="I63" s="1164"/>
      <c r="J63" s="1164"/>
      <c r="K63" s="1164"/>
      <c r="L63" s="1164"/>
    </row>
    <row r="64" spans="2:12" ht="15.75" customHeight="1">
      <c r="B64" s="1160"/>
      <c r="C64" s="1160"/>
      <c r="D64" s="1160"/>
      <c r="E64" s="1160"/>
      <c r="F64" s="1160"/>
      <c r="G64" s="1160"/>
      <c r="H64" s="1160"/>
      <c r="I64" s="1164"/>
      <c r="J64" s="1164"/>
      <c r="K64" s="1164"/>
      <c r="L64" s="1164"/>
    </row>
    <row r="65" spans="2:12" ht="15.75" customHeight="1">
      <c r="B65" s="1160"/>
      <c r="C65" s="1160"/>
      <c r="D65" s="1160"/>
      <c r="E65" s="1160"/>
      <c r="F65" s="1160"/>
      <c r="G65" s="1160"/>
      <c r="H65" s="1160"/>
      <c r="I65" s="1164"/>
      <c r="J65" s="1164"/>
      <c r="K65" s="1164"/>
      <c r="L65" s="1164"/>
    </row>
    <row r="66" spans="2:12" ht="15.75" customHeight="1">
      <c r="B66" s="1160"/>
      <c r="C66" s="1160"/>
      <c r="D66" s="1160"/>
      <c r="E66" s="1160"/>
      <c r="F66" s="1160"/>
      <c r="G66" s="1160"/>
      <c r="H66" s="1160"/>
      <c r="I66" s="1164"/>
      <c r="J66" s="1164"/>
      <c r="K66" s="1164"/>
      <c r="L66" s="1164"/>
    </row>
    <row r="67" spans="2:12" ht="15.75" customHeight="1">
      <c r="B67" s="1160"/>
      <c r="C67" s="1160"/>
      <c r="D67" s="1160"/>
      <c r="E67" s="1160"/>
      <c r="F67" s="1160"/>
      <c r="G67" s="1160"/>
      <c r="H67" s="1160"/>
      <c r="I67" s="1164"/>
      <c r="J67" s="1164"/>
      <c r="K67" s="1164"/>
      <c r="L67" s="1164"/>
    </row>
    <row r="68" spans="2:12" ht="15.75" customHeight="1">
      <c r="B68" s="1160"/>
      <c r="C68" s="1160"/>
      <c r="D68" s="1160"/>
      <c r="E68" s="1160"/>
      <c r="F68" s="1160"/>
      <c r="G68" s="1160"/>
      <c r="H68" s="1160"/>
      <c r="I68" s="1164"/>
      <c r="J68" s="1164"/>
      <c r="K68" s="1164"/>
      <c r="L68" s="1164"/>
    </row>
    <row r="69" spans="2:12" ht="15.75" customHeight="1">
      <c r="B69" s="1160"/>
      <c r="C69" s="1160"/>
      <c r="D69" s="1160"/>
      <c r="E69" s="1160"/>
      <c r="F69" s="1160"/>
      <c r="G69" s="1160"/>
      <c r="H69" s="1160"/>
      <c r="I69" s="1164"/>
      <c r="J69" s="1164"/>
      <c r="K69" s="1164"/>
      <c r="L69" s="1164"/>
    </row>
    <row r="70" spans="2:12" ht="15.75" customHeight="1">
      <c r="B70" s="1160"/>
      <c r="C70" s="1160"/>
      <c r="D70" s="1160"/>
      <c r="E70" s="1160"/>
      <c r="F70" s="1160"/>
      <c r="G70" s="1160"/>
      <c r="H70" s="1160"/>
      <c r="I70" s="1164"/>
      <c r="J70" s="1164"/>
      <c r="K70" s="1164"/>
      <c r="L70" s="1164"/>
    </row>
    <row r="71" spans="2:12" ht="15.75" customHeight="1">
      <c r="B71" s="1160"/>
      <c r="C71" s="1160"/>
      <c r="D71" s="1160"/>
      <c r="E71" s="1160"/>
      <c r="F71" s="1160"/>
      <c r="G71" s="1160"/>
      <c r="H71" s="1160"/>
      <c r="I71" s="1164"/>
      <c r="J71" s="1164"/>
      <c r="K71" s="1164"/>
      <c r="L71" s="1164"/>
    </row>
    <row r="72" spans="2:12" ht="15.75" customHeight="1">
      <c r="B72" s="1160"/>
      <c r="C72" s="1160"/>
      <c r="D72" s="1160"/>
      <c r="E72" s="1160"/>
      <c r="F72" s="1160"/>
      <c r="G72" s="1160"/>
      <c r="H72" s="1160"/>
      <c r="I72" s="1164"/>
      <c r="J72" s="1164"/>
      <c r="K72" s="1164"/>
      <c r="L72" s="1164"/>
    </row>
    <row r="73" spans="2:12" ht="15.75" customHeight="1">
      <c r="B73" s="1160"/>
      <c r="C73" s="1160"/>
      <c r="D73" s="1160"/>
      <c r="E73" s="1160"/>
      <c r="F73" s="1160"/>
      <c r="G73" s="1160"/>
      <c r="H73" s="1160"/>
      <c r="I73" s="1164"/>
      <c r="J73" s="1164"/>
      <c r="K73" s="1164"/>
      <c r="L73" s="1164"/>
    </row>
    <row r="74" spans="2:12" ht="15.75" customHeight="1">
      <c r="B74" s="1160"/>
      <c r="C74" s="1160"/>
      <c r="D74" s="1160"/>
      <c r="E74" s="1160"/>
      <c r="F74" s="1160"/>
      <c r="G74" s="1160"/>
      <c r="H74" s="1160"/>
      <c r="I74" s="1164"/>
      <c r="J74" s="1164"/>
      <c r="K74" s="1164"/>
      <c r="L74" s="1164"/>
    </row>
    <row r="75" spans="2:12" ht="15.75" customHeight="1">
      <c r="B75" s="1160"/>
      <c r="C75" s="1160"/>
      <c r="D75" s="1160"/>
      <c r="E75" s="1160"/>
      <c r="F75" s="1160"/>
      <c r="G75" s="1160"/>
      <c r="H75" s="1160"/>
      <c r="I75" s="1164"/>
      <c r="J75" s="1164"/>
      <c r="K75" s="1164"/>
      <c r="L75" s="1164"/>
    </row>
    <row r="76" spans="2:12" ht="15.75" customHeight="1">
      <c r="B76" s="1160"/>
      <c r="C76" s="1160"/>
      <c r="D76" s="1160"/>
      <c r="E76" s="1160"/>
      <c r="F76" s="1160"/>
      <c r="G76" s="1160"/>
      <c r="H76" s="1160"/>
      <c r="I76" s="1164"/>
      <c r="J76" s="1164"/>
      <c r="K76" s="1164"/>
      <c r="L76" s="1164"/>
    </row>
    <row r="77" spans="2:12" ht="15.75" customHeight="1">
      <c r="B77" s="1160"/>
      <c r="C77" s="1160"/>
      <c r="D77" s="1160"/>
      <c r="E77" s="1160"/>
      <c r="F77" s="1160"/>
      <c r="G77" s="1160"/>
      <c r="H77" s="1160"/>
      <c r="I77" s="1164"/>
      <c r="J77" s="1164"/>
      <c r="K77" s="1164"/>
      <c r="L77" s="1164"/>
    </row>
    <row r="78" spans="2:12" ht="15.75" customHeight="1">
      <c r="B78" s="1160"/>
      <c r="C78" s="1160"/>
      <c r="D78" s="1160"/>
      <c r="E78" s="1160"/>
      <c r="F78" s="1160"/>
      <c r="G78" s="1160"/>
      <c r="H78" s="1160"/>
      <c r="I78" s="1164"/>
      <c r="J78" s="1164"/>
      <c r="K78" s="1164"/>
      <c r="L78" s="1164"/>
    </row>
    <row r="79" spans="2:12" ht="15.75" customHeight="1">
      <c r="B79" s="1160"/>
      <c r="C79" s="1160"/>
      <c r="D79" s="1160"/>
      <c r="E79" s="1160"/>
      <c r="F79" s="1160"/>
      <c r="G79" s="1160"/>
      <c r="H79" s="1160"/>
      <c r="I79" s="1164"/>
      <c r="J79" s="1164"/>
      <c r="K79" s="1164"/>
      <c r="L79" s="1164"/>
    </row>
    <row r="80" spans="2:12" ht="15.75" customHeight="1">
      <c r="B80" s="1160"/>
      <c r="C80" s="1160"/>
      <c r="D80" s="1160"/>
      <c r="E80" s="1160"/>
      <c r="F80" s="1160"/>
      <c r="G80" s="1160"/>
      <c r="H80" s="1160"/>
      <c r="I80" s="1164"/>
      <c r="J80" s="1164"/>
      <c r="K80" s="1164"/>
      <c r="L80" s="1164"/>
    </row>
    <row r="81" spans="2:12" ht="15.75" customHeight="1">
      <c r="B81" s="1160"/>
      <c r="C81" s="1160"/>
      <c r="D81" s="1160"/>
      <c r="E81" s="1160"/>
      <c r="F81" s="1160"/>
      <c r="G81" s="1160"/>
      <c r="H81" s="1160"/>
      <c r="I81" s="1164"/>
      <c r="J81" s="1164"/>
      <c r="K81" s="1164"/>
      <c r="L81" s="1164"/>
    </row>
    <row r="82" spans="2:12" ht="15.75" customHeight="1">
      <c r="B82" s="1160"/>
      <c r="C82" s="1160"/>
      <c r="D82" s="1160"/>
      <c r="E82" s="1160"/>
      <c r="F82" s="1160"/>
      <c r="G82" s="1160"/>
      <c r="H82" s="1160"/>
      <c r="I82" s="1164"/>
      <c r="J82" s="1164"/>
      <c r="K82" s="1164"/>
      <c r="L82" s="1164"/>
    </row>
    <row r="83" spans="2:12" ht="15.75" customHeight="1">
      <c r="B83" s="1160"/>
      <c r="C83" s="1160"/>
      <c r="D83" s="1160"/>
      <c r="E83" s="1160"/>
      <c r="F83" s="1160"/>
      <c r="G83" s="1160"/>
      <c r="H83" s="1160"/>
      <c r="I83" s="1164"/>
      <c r="J83" s="1164"/>
      <c r="K83" s="1164"/>
      <c r="L83" s="1164"/>
    </row>
    <row r="84" spans="2:12" ht="15.75" customHeight="1">
      <c r="B84" s="1160"/>
      <c r="C84" s="1160"/>
      <c r="D84" s="1160"/>
      <c r="E84" s="1160"/>
      <c r="F84" s="1160"/>
      <c r="G84" s="1160"/>
      <c r="H84" s="1160"/>
      <c r="I84" s="1164"/>
      <c r="J84" s="1164"/>
      <c r="K84" s="1164"/>
      <c r="L84" s="1164"/>
    </row>
    <row r="85" spans="2:12" ht="15.75" customHeight="1">
      <c r="B85" s="1160"/>
      <c r="C85" s="1160"/>
      <c r="D85" s="1160"/>
      <c r="E85" s="1160"/>
      <c r="F85" s="1160"/>
      <c r="G85" s="1160"/>
      <c r="H85" s="1160"/>
      <c r="I85" s="1164"/>
      <c r="J85" s="1164"/>
      <c r="K85" s="1164"/>
      <c r="L85" s="1164"/>
    </row>
    <row r="86" spans="2:12" ht="15.75" customHeight="1">
      <c r="B86" s="1160"/>
      <c r="C86" s="1160"/>
      <c r="D86" s="1160"/>
      <c r="E86" s="1160"/>
      <c r="F86" s="1160"/>
      <c r="G86" s="1160"/>
      <c r="H86" s="1160"/>
      <c r="I86" s="1164"/>
      <c r="J86" s="1164"/>
      <c r="K86" s="1164"/>
      <c r="L86" s="1164"/>
    </row>
    <row r="87" spans="2:12" ht="15.75" customHeight="1">
      <c r="B87" s="1160"/>
      <c r="C87" s="1160"/>
      <c r="D87" s="1160"/>
      <c r="E87" s="1160"/>
      <c r="F87" s="1160"/>
      <c r="G87" s="1160"/>
      <c r="H87" s="1160"/>
      <c r="I87" s="1164"/>
      <c r="J87" s="1164"/>
      <c r="K87" s="1164"/>
      <c r="L87" s="1164"/>
    </row>
    <row r="88" spans="2:12" ht="15.75" customHeight="1">
      <c r="B88" s="1160"/>
      <c r="C88" s="1160"/>
      <c r="D88" s="1160"/>
      <c r="E88" s="1160"/>
      <c r="F88" s="1160"/>
      <c r="G88" s="1160"/>
      <c r="H88" s="1160"/>
      <c r="I88" s="1164"/>
      <c r="J88" s="1164"/>
      <c r="K88" s="1164"/>
      <c r="L88" s="1164"/>
    </row>
    <row r="89" spans="2:12" ht="15.75" customHeight="1">
      <c r="B89" s="1160"/>
      <c r="C89" s="1160"/>
      <c r="D89" s="1160"/>
      <c r="E89" s="1160"/>
      <c r="F89" s="1160"/>
      <c r="G89" s="1160"/>
      <c r="H89" s="1160"/>
      <c r="I89" s="1164"/>
      <c r="J89" s="1164"/>
      <c r="K89" s="1164"/>
      <c r="L89" s="1164"/>
    </row>
    <row r="90" spans="2:12" ht="15.75" customHeight="1">
      <c r="B90" s="1160"/>
      <c r="C90" s="1160"/>
      <c r="D90" s="1160"/>
      <c r="E90" s="1160"/>
      <c r="F90" s="1160"/>
      <c r="G90" s="1160"/>
      <c r="H90" s="1160"/>
      <c r="I90" s="1164"/>
      <c r="J90" s="1164"/>
      <c r="K90" s="1164"/>
      <c r="L90" s="1164"/>
    </row>
    <row r="91" spans="2:12" ht="15.75" customHeight="1">
      <c r="B91" s="1160"/>
      <c r="C91" s="1160"/>
      <c r="D91" s="1160"/>
      <c r="E91" s="1160"/>
      <c r="F91" s="1160"/>
      <c r="G91" s="1160"/>
      <c r="H91" s="1160"/>
      <c r="I91" s="1164"/>
      <c r="J91" s="1164"/>
      <c r="K91" s="1164"/>
      <c r="L91" s="1164"/>
    </row>
    <row r="92" spans="2:12" ht="15.75" customHeight="1">
      <c r="B92" s="1160"/>
      <c r="C92" s="1160"/>
      <c r="D92" s="1160"/>
      <c r="E92" s="1160"/>
      <c r="F92" s="1160"/>
      <c r="G92" s="1160"/>
      <c r="H92" s="1160"/>
      <c r="I92" s="1164"/>
      <c r="J92" s="1164"/>
      <c r="K92" s="1164"/>
      <c r="L92" s="1164"/>
    </row>
    <row r="93" spans="2:12" ht="15.75" customHeight="1">
      <c r="B93" s="1160"/>
      <c r="C93" s="1160"/>
      <c r="D93" s="1160"/>
      <c r="E93" s="1160"/>
      <c r="F93" s="1160"/>
      <c r="G93" s="1160"/>
      <c r="H93" s="1160"/>
      <c r="I93" s="1164"/>
      <c r="J93" s="1164"/>
      <c r="K93" s="1164"/>
      <c r="L93" s="1164"/>
    </row>
    <row r="94" spans="2:12" ht="15.75" customHeight="1">
      <c r="B94" s="1160"/>
      <c r="C94" s="1160"/>
      <c r="D94" s="1160"/>
      <c r="E94" s="1160"/>
      <c r="F94" s="1160"/>
      <c r="G94" s="1160"/>
      <c r="H94" s="1160"/>
      <c r="I94" s="1164"/>
      <c r="J94" s="1164"/>
      <c r="K94" s="1164"/>
      <c r="L94" s="1164"/>
    </row>
    <row r="95" spans="2:12" ht="15.75" customHeight="1">
      <c r="B95" s="1160"/>
      <c r="C95" s="1160"/>
      <c r="D95" s="1160"/>
      <c r="E95" s="1160"/>
      <c r="F95" s="1160"/>
      <c r="G95" s="1160"/>
      <c r="H95" s="1160"/>
      <c r="I95" s="1164"/>
      <c r="J95" s="1164"/>
      <c r="K95" s="1164"/>
      <c r="L95" s="1164"/>
    </row>
    <row r="96" spans="2:12" ht="15.75" customHeight="1">
      <c r="B96" s="1160"/>
      <c r="C96" s="1160"/>
      <c r="D96" s="1160"/>
      <c r="E96" s="1160"/>
      <c r="F96" s="1160"/>
      <c r="G96" s="1160"/>
      <c r="H96" s="1160"/>
      <c r="I96" s="1164"/>
      <c r="J96" s="1164"/>
      <c r="K96" s="1164"/>
      <c r="L96" s="1164"/>
    </row>
    <row r="97" spans="2:12" ht="15.75" customHeight="1">
      <c r="B97" s="1160"/>
      <c r="C97" s="1160"/>
      <c r="D97" s="1160"/>
      <c r="E97" s="1160"/>
      <c r="F97" s="1160"/>
      <c r="G97" s="1160"/>
      <c r="H97" s="1160"/>
      <c r="I97" s="1164"/>
      <c r="J97" s="1164"/>
      <c r="K97" s="1164"/>
      <c r="L97" s="1164"/>
    </row>
    <row r="98" spans="2:12" ht="15.75" customHeight="1">
      <c r="B98" s="1160"/>
      <c r="C98" s="1160"/>
      <c r="D98" s="1160"/>
      <c r="E98" s="1160"/>
      <c r="F98" s="1160"/>
      <c r="G98" s="1160"/>
      <c r="H98" s="1160"/>
      <c r="I98" s="1164"/>
      <c r="J98" s="1164"/>
      <c r="K98" s="1164"/>
      <c r="L98" s="1164"/>
    </row>
    <row r="99" spans="2:12" ht="15.75" customHeight="1">
      <c r="B99" s="1160"/>
      <c r="C99" s="1160"/>
      <c r="D99" s="1160"/>
      <c r="E99" s="1160"/>
      <c r="F99" s="1160"/>
      <c r="G99" s="1160"/>
      <c r="H99" s="1160"/>
      <c r="I99" s="1164"/>
      <c r="J99" s="1164"/>
      <c r="K99" s="1164"/>
      <c r="L99" s="1164"/>
    </row>
    <row r="100" spans="2:12" ht="15.75" customHeight="1">
      <c r="B100" s="1160"/>
      <c r="C100" s="1160"/>
      <c r="D100" s="1160"/>
      <c r="E100" s="1160"/>
      <c r="F100" s="1160"/>
      <c r="G100" s="1160"/>
      <c r="H100" s="1160"/>
      <c r="I100" s="1164"/>
      <c r="J100" s="1164"/>
      <c r="K100" s="1164"/>
      <c r="L100" s="1164"/>
    </row>
    <row r="101" spans="2:12" ht="15.75" customHeight="1">
      <c r="B101" s="1160"/>
      <c r="C101" s="1160"/>
      <c r="D101" s="1160"/>
      <c r="E101" s="1160"/>
      <c r="F101" s="1160"/>
      <c r="G101" s="1160"/>
      <c r="H101" s="1160"/>
      <c r="I101" s="1164"/>
      <c r="J101" s="1164"/>
      <c r="K101" s="1164"/>
      <c r="L101" s="1164"/>
    </row>
    <row r="102" spans="2:12" ht="15.75" customHeight="1">
      <c r="B102" s="1160"/>
      <c r="C102" s="1160"/>
      <c r="D102" s="1160"/>
      <c r="E102" s="1160"/>
      <c r="F102" s="1160"/>
      <c r="G102" s="1160"/>
      <c r="H102" s="1160"/>
      <c r="I102" s="1164"/>
      <c r="J102" s="1164"/>
      <c r="K102" s="1164"/>
      <c r="L102" s="1164"/>
    </row>
    <row r="103" spans="2:12" ht="15.75" customHeight="1">
      <c r="B103" s="1160"/>
      <c r="C103" s="1160"/>
      <c r="D103" s="1160"/>
      <c r="E103" s="1160"/>
      <c r="F103" s="1160"/>
      <c r="G103" s="1160"/>
      <c r="H103" s="1160"/>
      <c r="I103" s="1164"/>
      <c r="J103" s="1164"/>
      <c r="K103" s="1164"/>
      <c r="L103" s="1164"/>
    </row>
    <row r="104" spans="2:12" ht="15.75" customHeight="1">
      <c r="B104" s="1160"/>
      <c r="C104" s="1160"/>
      <c r="D104" s="1160"/>
      <c r="E104" s="1160"/>
      <c r="F104" s="1160"/>
      <c r="G104" s="1160"/>
      <c r="H104" s="1160"/>
      <c r="I104" s="1164"/>
      <c r="J104" s="1164"/>
      <c r="K104" s="1164"/>
      <c r="L104" s="1164"/>
    </row>
    <row r="105" spans="2:12" ht="15.75" customHeight="1">
      <c r="B105" s="1160"/>
      <c r="C105" s="1160"/>
      <c r="D105" s="1160"/>
      <c r="E105" s="1160"/>
      <c r="F105" s="1160"/>
      <c r="G105" s="1160"/>
      <c r="H105" s="1160"/>
      <c r="I105" s="1164"/>
      <c r="J105" s="1164"/>
      <c r="K105" s="1164"/>
      <c r="L105" s="1164"/>
    </row>
    <row r="106" spans="2:12" ht="15.75" customHeight="1">
      <c r="B106" s="1160"/>
      <c r="C106" s="1160"/>
      <c r="D106" s="1160"/>
      <c r="E106" s="1160"/>
      <c r="F106" s="1160"/>
      <c r="G106" s="1160"/>
      <c r="H106" s="1160"/>
      <c r="I106" s="1164"/>
      <c r="J106" s="1164"/>
      <c r="K106" s="1164"/>
      <c r="L106" s="1164"/>
    </row>
    <row r="107" spans="2:12" ht="15.75" customHeight="1">
      <c r="B107" s="1160"/>
      <c r="C107" s="1160"/>
      <c r="D107" s="1160"/>
      <c r="E107" s="1160"/>
      <c r="F107" s="1160"/>
      <c r="G107" s="1160"/>
      <c r="H107" s="1160"/>
      <c r="I107" s="1164"/>
      <c r="J107" s="1164"/>
      <c r="K107" s="1164"/>
      <c r="L107" s="1164"/>
    </row>
    <row r="108" spans="2:12" ht="15.75" customHeight="1">
      <c r="B108" s="1160"/>
      <c r="C108" s="1160"/>
      <c r="D108" s="1160"/>
      <c r="E108" s="1160"/>
      <c r="F108" s="1160"/>
      <c r="G108" s="1160"/>
      <c r="H108" s="1160"/>
      <c r="I108" s="1164"/>
      <c r="J108" s="1164"/>
      <c r="K108" s="1164"/>
      <c r="L108" s="1164"/>
    </row>
    <row r="109" spans="2:12" ht="15.75" customHeight="1">
      <c r="B109" s="1160"/>
      <c r="C109" s="1160"/>
      <c r="D109" s="1160"/>
      <c r="E109" s="1160"/>
      <c r="F109" s="1160"/>
      <c r="G109" s="1160"/>
      <c r="H109" s="1160"/>
      <c r="I109" s="1164"/>
      <c r="J109" s="1164"/>
      <c r="K109" s="1164"/>
      <c r="L109" s="1164"/>
    </row>
    <row r="110" spans="2:12" ht="15.75" customHeight="1">
      <c r="B110" s="1160"/>
      <c r="C110" s="1160"/>
      <c r="D110" s="1160"/>
      <c r="E110" s="1160"/>
      <c r="F110" s="1160"/>
      <c r="G110" s="1160"/>
      <c r="H110" s="1160"/>
      <c r="I110" s="1164"/>
      <c r="J110" s="1164"/>
      <c r="K110" s="1164"/>
      <c r="L110" s="1164"/>
    </row>
    <row r="111" spans="2:12" ht="15.75" customHeight="1">
      <c r="B111" s="1160"/>
      <c r="C111" s="1160"/>
      <c r="D111" s="1160"/>
      <c r="E111" s="1160"/>
      <c r="F111" s="1160"/>
      <c r="G111" s="1160"/>
      <c r="H111" s="1160"/>
      <c r="I111" s="1164"/>
      <c r="J111" s="1164"/>
      <c r="K111" s="1164"/>
      <c r="L111" s="1164"/>
    </row>
    <row r="112" spans="2:12" ht="15.75" customHeight="1">
      <c r="B112" s="1160"/>
      <c r="C112" s="1160"/>
      <c r="D112" s="1160"/>
      <c r="E112" s="1160"/>
      <c r="F112" s="1160"/>
      <c r="G112" s="1160"/>
      <c r="H112" s="1160"/>
      <c r="I112" s="1164"/>
      <c r="J112" s="1164"/>
      <c r="K112" s="1164"/>
      <c r="L112" s="1164"/>
    </row>
    <row r="113" spans="2:12" ht="15.75" customHeight="1">
      <c r="B113" s="1160"/>
      <c r="C113" s="1160"/>
      <c r="D113" s="1160"/>
      <c r="E113" s="1160"/>
      <c r="F113" s="1160"/>
      <c r="G113" s="1160"/>
      <c r="H113" s="1160"/>
      <c r="I113" s="1164"/>
      <c r="J113" s="1164"/>
      <c r="K113" s="1164"/>
      <c r="L113" s="1164"/>
    </row>
    <row r="114" spans="2:12" ht="15.75" customHeight="1">
      <c r="B114" s="1160"/>
      <c r="C114" s="1160"/>
      <c r="D114" s="1160"/>
      <c r="E114" s="1160"/>
      <c r="F114" s="1160"/>
      <c r="G114" s="1160"/>
      <c r="H114" s="1160"/>
      <c r="I114" s="1164"/>
      <c r="J114" s="1164"/>
      <c r="K114" s="1164"/>
      <c r="L114" s="1164"/>
    </row>
    <row r="115" spans="2:12" ht="15.75" customHeight="1">
      <c r="B115" s="1160"/>
      <c r="C115" s="1160"/>
      <c r="D115" s="1160"/>
      <c r="E115" s="1160"/>
      <c r="F115" s="1160"/>
      <c r="G115" s="1160"/>
      <c r="H115" s="1160"/>
      <c r="I115" s="1164"/>
      <c r="J115" s="1164"/>
      <c r="K115" s="1164"/>
      <c r="L115" s="1164"/>
    </row>
    <row r="116" spans="2:12" ht="15.75" customHeight="1">
      <c r="B116" s="1160"/>
      <c r="C116" s="1160"/>
      <c r="D116" s="1160"/>
      <c r="E116" s="1160"/>
      <c r="F116" s="1160"/>
      <c r="G116" s="1160"/>
      <c r="H116" s="1160"/>
      <c r="I116" s="1164"/>
      <c r="J116" s="1164"/>
      <c r="K116" s="1164"/>
      <c r="L116" s="1164"/>
    </row>
    <row r="117" spans="2:12" ht="15.75" customHeight="1">
      <c r="B117" s="1160"/>
      <c r="C117" s="1160"/>
      <c r="D117" s="1160"/>
      <c r="E117" s="1160"/>
      <c r="F117" s="1160"/>
      <c r="G117" s="1160"/>
      <c r="H117" s="1160"/>
      <c r="I117" s="1164"/>
      <c r="J117" s="1164"/>
      <c r="K117" s="1164"/>
      <c r="L117" s="1164"/>
    </row>
    <row r="118" spans="2:12" ht="15.75" customHeight="1">
      <c r="B118" s="1160"/>
      <c r="C118" s="1160"/>
      <c r="D118" s="1160"/>
      <c r="E118" s="1160"/>
      <c r="F118" s="1160"/>
      <c r="G118" s="1160"/>
      <c r="H118" s="1160"/>
      <c r="I118" s="1164"/>
      <c r="J118" s="1164"/>
      <c r="K118" s="1164"/>
      <c r="L118" s="1164"/>
    </row>
    <row r="119" spans="2:12" ht="15.75" customHeight="1">
      <c r="B119" s="1160"/>
      <c r="C119" s="1160"/>
      <c r="D119" s="1160"/>
      <c r="E119" s="1160"/>
      <c r="F119" s="1160"/>
      <c r="G119" s="1160"/>
      <c r="H119" s="1160"/>
      <c r="I119" s="1164"/>
      <c r="J119" s="1164"/>
      <c r="K119" s="1164"/>
      <c r="L119" s="1164"/>
    </row>
  </sheetData>
  <pageMargins left="0.7" right="0.7" top="0.75" bottom="0.75" header="0" footer="0"/>
  <pageSetup scale="90" orientation="portrait" r:id="rId1"/>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EBD22-FBCD-4342-B740-FEB2BCFC605A}">
  <dimension ref="B2:I45"/>
  <sheetViews>
    <sheetView showGridLines="0" topLeftCell="A3" workbookViewId="0">
      <selection activeCell="F20" sqref="F20"/>
    </sheetView>
  </sheetViews>
  <sheetFormatPr defaultColWidth="11.125" defaultRowHeight="14.25"/>
  <cols>
    <col min="1" max="1" width="2.625" style="417" customWidth="1"/>
    <col min="2" max="2" width="36.625" style="417" customWidth="1"/>
    <col min="3" max="3" width="13.875" style="417" customWidth="1"/>
    <col min="4" max="4" width="15.625" style="417" customWidth="1"/>
    <col min="5" max="5" width="13.875" style="417" customWidth="1"/>
    <col min="6" max="6" width="75.375" style="417" customWidth="1"/>
    <col min="7" max="7" width="15.625" style="417" customWidth="1"/>
    <col min="8" max="8" width="12" style="417" customWidth="1"/>
    <col min="9" max="25" width="11.875" style="417" customWidth="1"/>
    <col min="26" max="16384" width="11.125" style="417"/>
  </cols>
  <sheetData>
    <row r="2" spans="2:9" ht="16.5" thickBot="1">
      <c r="B2" s="418" t="s">
        <v>403</v>
      </c>
      <c r="C2" s="419"/>
      <c r="D2" s="419"/>
      <c r="E2" s="419"/>
      <c r="F2" s="420"/>
      <c r="G2" s="420"/>
      <c r="H2" s="421"/>
      <c r="I2" s="421"/>
    </row>
    <row r="3" spans="2:9">
      <c r="B3" s="421"/>
      <c r="C3" s="421"/>
      <c r="D3" s="421"/>
      <c r="E3" s="421"/>
      <c r="F3" s="422"/>
      <c r="G3" s="421"/>
      <c r="H3" s="421"/>
      <c r="I3" s="421"/>
    </row>
    <row r="4" spans="2:9" s="416" customFormat="1" ht="12">
      <c r="B4" s="1118" t="s">
        <v>181</v>
      </c>
      <c r="C4" s="1119" t="s">
        <v>404</v>
      </c>
      <c r="D4" s="1119" t="s">
        <v>405</v>
      </c>
      <c r="E4" s="1119" t="s">
        <v>406</v>
      </c>
      <c r="F4" s="1119" t="s">
        <v>407</v>
      </c>
      <c r="G4" s="1119" t="s">
        <v>408</v>
      </c>
      <c r="H4" s="425"/>
      <c r="I4" s="425"/>
    </row>
    <row r="5" spans="2:9" s="416" customFormat="1" ht="23.25" customHeight="1">
      <c r="B5" s="425" t="s">
        <v>409</v>
      </c>
      <c r="C5" s="426">
        <v>83</v>
      </c>
      <c r="D5" s="426" t="s">
        <v>410</v>
      </c>
      <c r="E5" s="1245">
        <f>SUM(E6:E15)</f>
        <v>15170</v>
      </c>
      <c r="F5" s="1248"/>
      <c r="G5" s="427">
        <f>C5*E5</f>
        <v>1259110</v>
      </c>
      <c r="H5" s="425"/>
      <c r="I5" s="425"/>
    </row>
    <row r="6" spans="2:9" s="416" customFormat="1" ht="12">
      <c r="B6" s="1244" t="s">
        <v>469</v>
      </c>
      <c r="C6" s="1243"/>
      <c r="D6" s="1243"/>
      <c r="E6" s="1246">
        <v>1900</v>
      </c>
      <c r="F6" s="1247" t="s">
        <v>470</v>
      </c>
      <c r="G6" s="1243"/>
      <c r="H6" s="425"/>
      <c r="I6" s="425"/>
    </row>
    <row r="7" spans="2:9" s="416" customFormat="1" ht="12">
      <c r="B7" s="1244" t="s">
        <v>471</v>
      </c>
      <c r="C7" s="1243"/>
      <c r="D7" s="1243"/>
      <c r="E7" s="1246">
        <v>2800</v>
      </c>
      <c r="F7" s="1247" t="s">
        <v>472</v>
      </c>
      <c r="G7" s="1243"/>
      <c r="H7" s="425"/>
      <c r="I7" s="425"/>
    </row>
    <row r="8" spans="2:9" s="416" customFormat="1" ht="12">
      <c r="B8" s="1244" t="s">
        <v>473</v>
      </c>
      <c r="C8" s="1243"/>
      <c r="D8" s="1243"/>
      <c r="E8" s="1246">
        <v>1100</v>
      </c>
      <c r="F8" s="1247" t="s">
        <v>474</v>
      </c>
      <c r="G8" s="1243"/>
      <c r="H8" s="425"/>
      <c r="I8" s="425"/>
    </row>
    <row r="9" spans="2:9" s="416" customFormat="1" ht="12">
      <c r="B9" s="1244" t="s">
        <v>475</v>
      </c>
      <c r="C9" s="1243"/>
      <c r="D9" s="1243"/>
      <c r="E9" s="1246">
        <v>2300</v>
      </c>
      <c r="F9" s="1247" t="s">
        <v>476</v>
      </c>
      <c r="G9" s="1243"/>
      <c r="H9" s="425"/>
      <c r="I9" s="425"/>
    </row>
    <row r="10" spans="2:9" s="416" customFormat="1" ht="12">
      <c r="B10" s="1244" t="s">
        <v>477</v>
      </c>
      <c r="C10" s="1243"/>
      <c r="D10" s="1243"/>
      <c r="E10" s="1246">
        <v>1000</v>
      </c>
      <c r="F10" s="1247" t="s">
        <v>478</v>
      </c>
      <c r="G10" s="1243"/>
      <c r="H10" s="425"/>
      <c r="I10" s="425"/>
    </row>
    <row r="11" spans="2:9" s="416" customFormat="1" ht="12">
      <c r="B11" s="1244" t="s">
        <v>479</v>
      </c>
      <c r="C11" s="1243"/>
      <c r="D11" s="1243"/>
      <c r="E11" s="1246">
        <v>800</v>
      </c>
      <c r="F11" s="1247" t="s">
        <v>480</v>
      </c>
      <c r="G11" s="1243"/>
      <c r="H11" s="425"/>
      <c r="I11" s="425"/>
    </row>
    <row r="12" spans="2:9" s="416" customFormat="1" ht="12">
      <c r="B12" s="1244" t="s">
        <v>481</v>
      </c>
      <c r="C12" s="1243"/>
      <c r="D12" s="1243"/>
      <c r="E12" s="1246">
        <v>295</v>
      </c>
      <c r="F12" s="1247" t="s">
        <v>482</v>
      </c>
      <c r="G12" s="1243"/>
      <c r="H12" s="425"/>
      <c r="I12" s="425"/>
    </row>
    <row r="13" spans="2:9" s="416" customFormat="1" ht="12">
      <c r="B13" s="1244" t="s">
        <v>483</v>
      </c>
      <c r="C13" s="1243"/>
      <c r="D13" s="1243"/>
      <c r="E13" s="1246">
        <v>225</v>
      </c>
      <c r="F13" s="1247" t="s">
        <v>484</v>
      </c>
      <c r="G13" s="1243"/>
      <c r="H13" s="425"/>
      <c r="I13" s="425"/>
    </row>
    <row r="14" spans="2:9" s="416" customFormat="1" ht="12">
      <c r="B14" s="1244" t="s">
        <v>485</v>
      </c>
      <c r="C14" s="1243"/>
      <c r="D14" s="1243"/>
      <c r="E14" s="1246">
        <v>4350</v>
      </c>
      <c r="F14" s="1247" t="s">
        <v>486</v>
      </c>
      <c r="G14" s="1243"/>
      <c r="H14" s="425"/>
      <c r="I14" s="425"/>
    </row>
    <row r="15" spans="2:9" s="416" customFormat="1" ht="12">
      <c r="B15" s="1244" t="s">
        <v>487</v>
      </c>
      <c r="C15" s="1243"/>
      <c r="D15" s="1243"/>
      <c r="E15" s="1246">
        <v>400</v>
      </c>
      <c r="F15" s="1247" t="s">
        <v>488</v>
      </c>
      <c r="G15" s="1243"/>
      <c r="H15" s="425"/>
      <c r="I15" s="425"/>
    </row>
    <row r="16" spans="2:9" s="416" customFormat="1" ht="12">
      <c r="B16" s="425"/>
      <c r="C16" s="426"/>
      <c r="D16" s="426"/>
      <c r="E16" s="427"/>
      <c r="F16" s="428"/>
      <c r="G16" s="427"/>
      <c r="H16" s="425"/>
      <c r="I16" s="425"/>
    </row>
    <row r="17" spans="2:9" s="416" customFormat="1" ht="12">
      <c r="B17" s="429" t="s">
        <v>412</v>
      </c>
      <c r="C17" s="430"/>
      <c r="D17" s="430"/>
      <c r="E17" s="431"/>
      <c r="F17" s="432"/>
      <c r="G17" s="433">
        <f>SUM(G5:G5)</f>
        <v>1259110</v>
      </c>
      <c r="H17" s="434"/>
      <c r="I17" s="425"/>
    </row>
    <row r="18" spans="2:9" s="416" customFormat="1" ht="12">
      <c r="B18" s="429"/>
      <c r="C18" s="430"/>
      <c r="D18" s="430"/>
      <c r="E18" s="431"/>
      <c r="F18" s="432"/>
      <c r="G18" s="433"/>
      <c r="H18" s="434"/>
      <c r="I18" s="425"/>
    </row>
    <row r="19" spans="2:9" s="416" customFormat="1" ht="12">
      <c r="B19" s="425"/>
      <c r="C19" s="426"/>
      <c r="D19" s="426"/>
      <c r="E19" s="427"/>
      <c r="F19" s="425"/>
      <c r="G19" s="426"/>
      <c r="H19" s="425"/>
      <c r="I19" s="425"/>
    </row>
    <row r="20" spans="2:9" s="416" customFormat="1" ht="12">
      <c r="B20" s="1118" t="s">
        <v>413</v>
      </c>
      <c r="C20" s="1119" t="s">
        <v>404</v>
      </c>
      <c r="D20" s="1119" t="s">
        <v>405</v>
      </c>
      <c r="E20" s="1119" t="s">
        <v>406</v>
      </c>
      <c r="F20" s="1119" t="s">
        <v>407</v>
      </c>
      <c r="G20" s="1119" t="s">
        <v>408</v>
      </c>
      <c r="H20" s="425"/>
      <c r="I20" s="425"/>
    </row>
    <row r="21" spans="2:9" s="416" customFormat="1" ht="12">
      <c r="B21" s="425" t="s">
        <v>444</v>
      </c>
      <c r="C21" s="426">
        <v>1</v>
      </c>
      <c r="D21" s="426" t="s">
        <v>415</v>
      </c>
      <c r="E21" s="427">
        <v>120000</v>
      </c>
      <c r="F21" s="428" t="s">
        <v>445</v>
      </c>
      <c r="G21" s="427">
        <f t="shared" ref="G21:G36" si="0">C21*E21</f>
        <v>120000</v>
      </c>
      <c r="H21" s="434"/>
      <c r="I21" s="425"/>
    </row>
    <row r="22" spans="2:9" s="416" customFormat="1" ht="12">
      <c r="B22" s="1249" t="s">
        <v>417</v>
      </c>
      <c r="C22" s="1250">
        <v>32</v>
      </c>
      <c r="D22" s="1250" t="s">
        <v>415</v>
      </c>
      <c r="E22" s="1074">
        <v>4500</v>
      </c>
      <c r="F22" s="1251" t="s">
        <v>418</v>
      </c>
      <c r="G22" s="1074">
        <f t="shared" si="0"/>
        <v>144000</v>
      </c>
      <c r="H22" s="425"/>
      <c r="I22" s="425"/>
    </row>
    <row r="23" spans="2:9" s="416" customFormat="1" ht="12">
      <c r="B23" s="425" t="s">
        <v>489</v>
      </c>
      <c r="C23" s="426">
        <v>1</v>
      </c>
      <c r="D23" s="426" t="s">
        <v>415</v>
      </c>
      <c r="E23" s="427">
        <v>15000</v>
      </c>
      <c r="F23" s="428" t="s">
        <v>490</v>
      </c>
      <c r="G23" s="427">
        <f t="shared" si="0"/>
        <v>15000</v>
      </c>
      <c r="H23" s="425"/>
      <c r="I23" s="425"/>
    </row>
    <row r="24" spans="2:9" s="416" customFormat="1" ht="12">
      <c r="B24" s="425" t="s">
        <v>419</v>
      </c>
      <c r="C24" s="426">
        <v>1</v>
      </c>
      <c r="D24" s="426" t="s">
        <v>415</v>
      </c>
      <c r="E24" s="427">
        <v>60000</v>
      </c>
      <c r="F24" s="428" t="s">
        <v>420</v>
      </c>
      <c r="G24" s="427">
        <f>C24*E24</f>
        <v>60000</v>
      </c>
      <c r="H24" s="425"/>
      <c r="I24" s="425"/>
    </row>
    <row r="25" spans="2:9" s="416" customFormat="1" ht="12">
      <c r="B25" s="425" t="s">
        <v>421</v>
      </c>
      <c r="C25" s="426">
        <v>1</v>
      </c>
      <c r="D25" s="426" t="s">
        <v>415</v>
      </c>
      <c r="E25" s="427">
        <v>100000</v>
      </c>
      <c r="F25" s="428" t="s">
        <v>422</v>
      </c>
      <c r="G25" s="427">
        <f>C25*E25</f>
        <v>100000</v>
      </c>
      <c r="H25" s="425"/>
      <c r="I25" s="425"/>
    </row>
    <row r="26" spans="2:9" s="416" customFormat="1" ht="12">
      <c r="B26" s="425" t="s">
        <v>414</v>
      </c>
      <c r="C26" s="426">
        <v>32</v>
      </c>
      <c r="D26" s="426" t="s">
        <v>415</v>
      </c>
      <c r="E26" s="1074">
        <v>8000</v>
      </c>
      <c r="F26" s="428" t="s">
        <v>491</v>
      </c>
      <c r="G26" s="427">
        <f>C26*E26</f>
        <v>256000</v>
      </c>
      <c r="H26" s="425"/>
      <c r="I26" s="425"/>
    </row>
    <row r="27" spans="2:9" s="416" customFormat="1" ht="12">
      <c r="B27" s="425" t="s">
        <v>448</v>
      </c>
      <c r="C27" s="426">
        <v>5</v>
      </c>
      <c r="D27" s="426" t="s">
        <v>449</v>
      </c>
      <c r="E27" s="1074">
        <v>800</v>
      </c>
      <c r="F27" s="428" t="s">
        <v>492</v>
      </c>
      <c r="G27" s="427">
        <f>C27*E27</f>
        <v>4000</v>
      </c>
      <c r="H27" s="425"/>
      <c r="I27" s="425"/>
    </row>
    <row r="28" spans="2:9" s="416" customFormat="1" ht="12">
      <c r="B28" s="425" t="s">
        <v>493</v>
      </c>
      <c r="C28" s="426">
        <v>5</v>
      </c>
      <c r="D28" s="426" t="s">
        <v>449</v>
      </c>
      <c r="E28" s="1074">
        <v>1500</v>
      </c>
      <c r="F28" s="428" t="s">
        <v>494</v>
      </c>
      <c r="G28" s="427">
        <f>C28*E28</f>
        <v>7500</v>
      </c>
      <c r="H28" s="425"/>
      <c r="I28" s="425"/>
    </row>
    <row r="29" spans="2:9" s="416" customFormat="1" ht="12">
      <c r="B29" s="425" t="s">
        <v>423</v>
      </c>
      <c r="C29" s="426">
        <v>1</v>
      </c>
      <c r="D29" s="426" t="s">
        <v>451</v>
      </c>
      <c r="E29" s="427">
        <v>25000</v>
      </c>
      <c r="F29" s="428" t="s">
        <v>425</v>
      </c>
      <c r="G29" s="427">
        <f t="shared" si="0"/>
        <v>25000</v>
      </c>
      <c r="H29" s="425"/>
      <c r="I29" s="425"/>
    </row>
    <row r="30" spans="2:9" s="416" customFormat="1" ht="12">
      <c r="B30" s="425" t="s">
        <v>495</v>
      </c>
      <c r="C30" s="426">
        <v>1</v>
      </c>
      <c r="D30" s="426" t="s">
        <v>496</v>
      </c>
      <c r="E30" s="427">
        <v>20000</v>
      </c>
      <c r="F30" s="428" t="s">
        <v>497</v>
      </c>
      <c r="G30" s="427">
        <f t="shared" si="0"/>
        <v>20000</v>
      </c>
      <c r="H30" s="425"/>
      <c r="I30" s="425"/>
    </row>
    <row r="31" spans="2:9" s="416" customFormat="1" ht="12">
      <c r="B31" s="425" t="s">
        <v>498</v>
      </c>
      <c r="C31" s="426">
        <v>1</v>
      </c>
      <c r="D31" s="426" t="s">
        <v>496</v>
      </c>
      <c r="E31" s="427">
        <v>15000</v>
      </c>
      <c r="F31" s="428" t="s">
        <v>499</v>
      </c>
      <c r="G31" s="427">
        <f t="shared" si="0"/>
        <v>15000</v>
      </c>
      <c r="H31" s="425"/>
      <c r="I31" s="425"/>
    </row>
    <row r="32" spans="2:9" s="416" customFormat="1" ht="12">
      <c r="B32" s="425" t="s">
        <v>500</v>
      </c>
      <c r="C32" s="426">
        <v>1</v>
      </c>
      <c r="D32" s="426" t="s">
        <v>496</v>
      </c>
      <c r="E32" s="427">
        <v>5000</v>
      </c>
      <c r="F32" s="428" t="s">
        <v>501</v>
      </c>
      <c r="G32" s="427">
        <f t="shared" si="0"/>
        <v>5000</v>
      </c>
      <c r="H32" s="425"/>
      <c r="I32" s="425"/>
    </row>
    <row r="33" spans="2:9" s="416" customFormat="1" ht="36" customHeight="1">
      <c r="B33" s="1249" t="s">
        <v>426</v>
      </c>
      <c r="C33" s="1250">
        <v>1</v>
      </c>
      <c r="D33" s="1250" t="s">
        <v>427</v>
      </c>
      <c r="E33" s="1074">
        <v>150000</v>
      </c>
      <c r="F33" s="1251" t="s">
        <v>502</v>
      </c>
      <c r="G33" s="1074">
        <f t="shared" si="0"/>
        <v>150000</v>
      </c>
      <c r="H33" s="425"/>
      <c r="I33" s="425"/>
    </row>
    <row r="34" spans="2:9" s="416" customFormat="1" ht="12">
      <c r="B34" s="425" t="s">
        <v>429</v>
      </c>
      <c r="C34" s="426">
        <v>1</v>
      </c>
      <c r="D34" s="426" t="s">
        <v>430</v>
      </c>
      <c r="E34" s="427">
        <v>35000</v>
      </c>
      <c r="F34" s="428" t="s">
        <v>503</v>
      </c>
      <c r="G34" s="427">
        <f t="shared" si="0"/>
        <v>35000</v>
      </c>
      <c r="H34" s="425"/>
      <c r="I34" s="425"/>
    </row>
    <row r="35" spans="2:9" s="416" customFormat="1" ht="12">
      <c r="B35" s="425" t="s">
        <v>452</v>
      </c>
      <c r="C35" s="426">
        <v>1</v>
      </c>
      <c r="D35" s="426" t="s">
        <v>453</v>
      </c>
      <c r="E35" s="427">
        <v>18000</v>
      </c>
      <c r="F35" s="428" t="s">
        <v>504</v>
      </c>
      <c r="G35" s="427">
        <f t="shared" si="0"/>
        <v>18000</v>
      </c>
      <c r="H35" s="425"/>
      <c r="I35" s="425"/>
    </row>
    <row r="36" spans="2:9" s="416" customFormat="1" ht="12">
      <c r="B36" s="425" t="s">
        <v>455</v>
      </c>
      <c r="C36" s="426">
        <v>1</v>
      </c>
      <c r="D36" s="426" t="s">
        <v>433</v>
      </c>
      <c r="E36" s="427">
        <v>25000</v>
      </c>
      <c r="F36" s="428" t="s">
        <v>456</v>
      </c>
      <c r="G36" s="427">
        <f t="shared" si="0"/>
        <v>25000</v>
      </c>
      <c r="H36" s="425"/>
      <c r="I36" s="425"/>
    </row>
    <row r="37" spans="2:9" s="416" customFormat="1" ht="12">
      <c r="B37" s="1249" t="s">
        <v>505</v>
      </c>
      <c r="C37" s="1250">
        <v>1</v>
      </c>
      <c r="D37" s="1250" t="s">
        <v>496</v>
      </c>
      <c r="E37" s="1074">
        <v>250000</v>
      </c>
      <c r="F37" s="1251" t="s">
        <v>506</v>
      </c>
      <c r="G37" s="1074">
        <v>300000</v>
      </c>
      <c r="H37" s="425"/>
      <c r="I37" s="425"/>
    </row>
    <row r="38" spans="2:9" s="416" customFormat="1" ht="12">
      <c r="B38" s="429" t="s">
        <v>437</v>
      </c>
      <c r="C38" s="430"/>
      <c r="D38" s="430"/>
      <c r="E38" s="431"/>
      <c r="F38" s="432"/>
      <c r="G38" s="433">
        <f>SUM(G21:G37)</f>
        <v>1299500</v>
      </c>
      <c r="H38" s="434"/>
      <c r="I38" s="425"/>
    </row>
    <row r="39" spans="2:9" s="416" customFormat="1" ht="12">
      <c r="B39" s="435" t="s">
        <v>438</v>
      </c>
      <c r="C39" s="426"/>
      <c r="D39" s="426"/>
      <c r="E39" s="427"/>
      <c r="F39" s="425"/>
      <c r="G39" s="436">
        <f>G38+G17</f>
        <v>2558610</v>
      </c>
      <c r="H39" s="425"/>
      <c r="I39" s="425"/>
    </row>
    <row r="40" spans="2:9" s="416" customFormat="1" ht="12">
      <c r="B40" s="425" t="s">
        <v>114</v>
      </c>
      <c r="C40" s="437">
        <v>0.1</v>
      </c>
      <c r="D40" s="426"/>
      <c r="E40" s="427"/>
      <c r="F40" s="425"/>
      <c r="G40" s="436">
        <f>G39*C40</f>
        <v>255861</v>
      </c>
      <c r="H40" s="425"/>
      <c r="I40" s="425"/>
    </row>
    <row r="41" spans="2:9" s="416" customFormat="1" ht="12">
      <c r="B41" s="425" t="s">
        <v>439</v>
      </c>
      <c r="C41" s="437">
        <v>0.1</v>
      </c>
      <c r="D41" s="426"/>
      <c r="E41" s="427"/>
      <c r="F41" s="425"/>
      <c r="G41" s="436">
        <f>(G39+G40)*C41</f>
        <v>281447.10000000003</v>
      </c>
      <c r="H41" s="425"/>
      <c r="I41" s="425"/>
    </row>
    <row r="42" spans="2:9" s="416" customFormat="1" ht="12">
      <c r="B42" s="429" t="s">
        <v>440</v>
      </c>
      <c r="C42" s="430"/>
      <c r="D42" s="430"/>
      <c r="E42" s="431"/>
      <c r="F42" s="432"/>
      <c r="G42" s="433">
        <f>G39+G40+G41</f>
        <v>3095918.1</v>
      </c>
      <c r="H42" s="709"/>
      <c r="I42" s="425"/>
    </row>
    <row r="43" spans="2:9">
      <c r="B43" s="421"/>
      <c r="C43" s="439"/>
      <c r="D43" s="439"/>
      <c r="E43" s="439"/>
      <c r="F43" s="421"/>
      <c r="G43" s="439"/>
      <c r="H43" s="440"/>
      <c r="I43" s="425"/>
    </row>
    <row r="45" spans="2:9">
      <c r="G45" s="71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14B1E-3084-448F-969B-18D98D48B25E}">
  <sheetPr>
    <outlinePr summaryBelow="0" summaryRight="0"/>
  </sheetPr>
  <dimension ref="A1:Q1014"/>
  <sheetViews>
    <sheetView showGridLines="0" topLeftCell="A9" zoomScale="90" zoomScaleNormal="90" workbookViewId="0">
      <selection activeCell="L9" sqref="L9"/>
    </sheetView>
  </sheetViews>
  <sheetFormatPr defaultColWidth="12.625" defaultRowHeight="15.75" customHeight="1"/>
  <cols>
    <col min="1" max="1" width="4.625" style="292" bestFit="1" customWidth="1"/>
    <col min="2" max="2" width="15.125" style="292" bestFit="1" customWidth="1"/>
    <col min="3" max="3" width="13.125" style="292" bestFit="1" customWidth="1"/>
    <col min="4" max="4" width="12.625" style="292"/>
    <col min="5" max="5" width="16.25" style="292" customWidth="1"/>
    <col min="6" max="6" width="2.5" style="292" customWidth="1"/>
    <col min="7" max="7" width="3.125" style="294" customWidth="1"/>
    <col min="8" max="8" width="15.125" style="292" bestFit="1" customWidth="1"/>
    <col min="9" max="9" width="13.125" style="292" bestFit="1" customWidth="1"/>
    <col min="10" max="10" width="12.625" style="292"/>
    <col min="11" max="11" width="16.25" style="292" customWidth="1"/>
    <col min="12" max="12" width="14.75" style="292" bestFit="1" customWidth="1"/>
    <col min="13" max="16384" width="12.625" style="292"/>
  </cols>
  <sheetData>
    <row r="1" spans="1:17" ht="15.75" customHeight="1" thickBot="1"/>
    <row r="2" spans="1:17" ht="15.75" customHeight="1">
      <c r="A2" s="902"/>
      <c r="B2" s="903" t="s">
        <v>507</v>
      </c>
      <c r="C2" s="904"/>
      <c r="D2" s="905"/>
      <c r="E2" s="904"/>
      <c r="F2" s="906" t="s">
        <v>86</v>
      </c>
      <c r="G2" s="907" t="s">
        <v>508</v>
      </c>
      <c r="H2" s="908"/>
      <c r="I2" s="908"/>
      <c r="J2" s="908"/>
      <c r="K2" s="908"/>
      <c r="L2" s="909" t="s">
        <v>86</v>
      </c>
    </row>
    <row r="3" spans="1:17" ht="15.75" customHeight="1">
      <c r="A3" s="910"/>
      <c r="B3" s="911" t="s">
        <v>3</v>
      </c>
      <c r="C3" s="911"/>
      <c r="E3" s="291"/>
      <c r="F3" s="291"/>
      <c r="G3" s="293"/>
      <c r="H3" s="911" t="s">
        <v>3</v>
      </c>
      <c r="I3" s="911"/>
      <c r="K3" s="291"/>
      <c r="L3" s="912"/>
      <c r="M3" s="291"/>
      <c r="N3" s="291"/>
      <c r="O3" s="291"/>
      <c r="P3" s="291"/>
    </row>
    <row r="4" spans="1:17" ht="15.75" customHeight="1">
      <c r="A4" s="910"/>
      <c r="B4" s="913" t="s">
        <v>509</v>
      </c>
      <c r="C4" s="914">
        <f>'Inputs &amp; Assumptions'!V13</f>
        <v>30</v>
      </c>
      <c r="E4" s="291"/>
      <c r="F4" s="291"/>
      <c r="G4" s="293"/>
      <c r="H4" s="913" t="s">
        <v>509</v>
      </c>
      <c r="I4" s="914">
        <f>'Inputs &amp; Assumptions'!$V$23</f>
        <v>30</v>
      </c>
      <c r="K4" s="291" t="s">
        <v>510</v>
      </c>
      <c r="L4" s="915">
        <f>'Inputs &amp; Assumptions'!$V$19</f>
        <v>36</v>
      </c>
      <c r="M4" s="291"/>
      <c r="N4" s="291"/>
      <c r="O4" s="291"/>
      <c r="P4" s="291"/>
    </row>
    <row r="5" spans="1:17" ht="15.75" customHeight="1">
      <c r="A5" s="910"/>
      <c r="B5" s="913" t="s">
        <v>310</v>
      </c>
      <c r="C5" s="916">
        <f>'Inputs &amp; Assumptions'!V12</f>
        <v>3.9E-2</v>
      </c>
      <c r="E5" s="291"/>
      <c r="F5" s="291"/>
      <c r="G5" s="293"/>
      <c r="H5" s="913" t="s">
        <v>310</v>
      </c>
      <c r="I5" s="916">
        <f>'Inputs &amp; Assumptions'!$V$22</f>
        <v>0.06</v>
      </c>
      <c r="K5" s="292" t="s">
        <v>511</v>
      </c>
      <c r="L5" s="917">
        <f>'Inputs &amp; Assumptions'!V20</f>
        <v>0.06</v>
      </c>
      <c r="M5" s="291"/>
      <c r="N5" s="291"/>
      <c r="O5" s="291"/>
      <c r="P5" s="291"/>
    </row>
    <row r="6" spans="1:17" ht="15.75" customHeight="1">
      <c r="A6" s="910"/>
      <c r="B6" s="913" t="s">
        <v>311</v>
      </c>
      <c r="C6" s="918">
        <f>'Cash Flows &amp; Summary'!Q27</f>
        <v>23240000.000000004</v>
      </c>
      <c r="E6" s="291"/>
      <c r="F6" s="291"/>
      <c r="G6" s="293"/>
      <c r="H6" s="913" t="s">
        <v>512</v>
      </c>
      <c r="I6" s="918">
        <f>$L$7*$L$6</f>
        <v>37871915.332146809</v>
      </c>
      <c r="K6" s="291" t="s">
        <v>513</v>
      </c>
      <c r="L6" s="919">
        <f>((_xlfn.XLOOKUP($L$4,'Pro Forma'!$F$4:$ED$4,'Pro Forma'!$F$63:$ED$63,0,0,1))*'Inputs &amp; Assumptions'!V65)/$L$5</f>
        <v>58264485.126379699</v>
      </c>
      <c r="M6" s="291"/>
      <c r="N6" s="291"/>
      <c r="O6" s="291"/>
      <c r="P6" s="291"/>
    </row>
    <row r="7" spans="1:17" ht="15.75" customHeight="1">
      <c r="A7" s="910"/>
      <c r="B7" s="913" t="s">
        <v>514</v>
      </c>
      <c r="C7" s="920">
        <f>C8*12</f>
        <v>1315388.2881464837</v>
      </c>
      <c r="E7" s="291"/>
      <c r="F7" s="291"/>
      <c r="G7" s="293"/>
      <c r="H7" s="913" t="s">
        <v>514</v>
      </c>
      <c r="I7" s="920">
        <f>$I$8*12</f>
        <v>2724735.207111503</v>
      </c>
      <c r="K7" s="291" t="s">
        <v>72</v>
      </c>
      <c r="L7" s="917">
        <f>'Inputs &amp; Assumptions'!V21</f>
        <v>0.65</v>
      </c>
      <c r="M7" s="291"/>
      <c r="N7" s="291"/>
      <c r="O7" s="291"/>
      <c r="P7" s="291"/>
    </row>
    <row r="8" spans="1:17" ht="15.75" customHeight="1">
      <c r="A8" s="910"/>
      <c r="B8" s="913" t="s">
        <v>515</v>
      </c>
      <c r="C8" s="920">
        <f>PMT(C5/12,(C4*12),-C6)</f>
        <v>109615.69067887365</v>
      </c>
      <c r="E8" s="291"/>
      <c r="F8" s="291"/>
      <c r="G8" s="293"/>
      <c r="H8" s="913" t="s">
        <v>515</v>
      </c>
      <c r="I8" s="920">
        <f>PMT($I$5/12,($I$4*12),-$I$6)</f>
        <v>227061.2672592919</v>
      </c>
      <c r="K8" s="291" t="s">
        <v>516</v>
      </c>
      <c r="L8" s="921">
        <f>VLOOKUP(L4,$B$14:$E$373,4,FALSE)</f>
        <v>21940483.686267685</v>
      </c>
      <c r="M8" s="291"/>
      <c r="N8" s="291"/>
      <c r="O8" s="291"/>
      <c r="P8" s="291"/>
    </row>
    <row r="9" spans="1:17" ht="15.75" customHeight="1">
      <c r="A9" s="910"/>
      <c r="B9" s="913" t="s">
        <v>517</v>
      </c>
      <c r="C9" s="920">
        <f>C6*C5</f>
        <v>906360.00000000012</v>
      </c>
      <c r="D9" s="922">
        <f>C9/12</f>
        <v>75530.000000000015</v>
      </c>
      <c r="E9" s="291"/>
      <c r="F9" s="291"/>
      <c r="G9" s="293"/>
      <c r="H9" s="913" t="s">
        <v>517</v>
      </c>
      <c r="I9" s="920">
        <f>$I$6*$I$5</f>
        <v>2272314.9199288082</v>
      </c>
      <c r="J9" s="922">
        <f>I9/12</f>
        <v>189359.57666073402</v>
      </c>
      <c r="K9" s="291" t="s">
        <v>518</v>
      </c>
      <c r="L9" s="921">
        <f>I6-L8</f>
        <v>15931431.645879123</v>
      </c>
      <c r="M9" s="291"/>
      <c r="N9" s="291"/>
      <c r="O9" s="291"/>
      <c r="P9" s="291"/>
    </row>
    <row r="10" spans="1:17" ht="15.75" customHeight="1">
      <c r="A10" s="923"/>
      <c r="B10" s="913" t="s">
        <v>519</v>
      </c>
      <c r="C10" s="924">
        <f>D10*12</f>
        <v>0</v>
      </c>
      <c r="D10" s="925">
        <f>'Inputs &amp; Assumptions'!V14</f>
        <v>0</v>
      </c>
      <c r="H10" s="913" t="s">
        <v>519</v>
      </c>
      <c r="I10" s="924">
        <f>J10*12+1</f>
        <v>25</v>
      </c>
      <c r="J10" s="925">
        <f>'Inputs &amp; Assumptions'!V24</f>
        <v>2</v>
      </c>
      <c r="L10" s="926"/>
      <c r="M10" s="291"/>
      <c r="N10" s="291"/>
      <c r="O10" s="291"/>
      <c r="P10" s="291"/>
    </row>
    <row r="11" spans="1:17" ht="15.75" customHeight="1">
      <c r="A11" s="910"/>
      <c r="B11" s="927" t="s">
        <v>520</v>
      </c>
      <c r="C11" s="927"/>
      <c r="D11" s="927"/>
      <c r="E11" s="927"/>
      <c r="H11" s="927" t="s">
        <v>521</v>
      </c>
      <c r="I11" s="927"/>
      <c r="J11" s="927"/>
      <c r="K11" s="927"/>
      <c r="L11" s="928"/>
      <c r="M11" s="291"/>
      <c r="N11" s="291"/>
      <c r="O11" s="291"/>
      <c r="P11" s="291"/>
    </row>
    <row r="12" spans="1:17" ht="15.75" customHeight="1">
      <c r="A12" s="929" t="s">
        <v>522</v>
      </c>
      <c r="B12" s="1282" t="s">
        <v>299</v>
      </c>
      <c r="C12" s="1282" t="s">
        <v>310</v>
      </c>
      <c r="D12" s="1282" t="s">
        <v>311</v>
      </c>
      <c r="E12" s="1286" t="s">
        <v>523</v>
      </c>
      <c r="F12" s="291"/>
      <c r="H12" s="1282" t="s">
        <v>524</v>
      </c>
      <c r="I12" s="1282" t="s">
        <v>525</v>
      </c>
      <c r="J12" s="1282" t="s">
        <v>310</v>
      </c>
      <c r="K12" s="1282" t="s">
        <v>311</v>
      </c>
      <c r="L12" s="1284" t="s">
        <v>523</v>
      </c>
      <c r="M12" s="291"/>
      <c r="N12" s="291"/>
      <c r="O12" s="291"/>
      <c r="P12" s="291"/>
      <c r="Q12" s="291"/>
    </row>
    <row r="13" spans="1:17" ht="15.75" customHeight="1">
      <c r="A13" s="929">
        <v>1</v>
      </c>
      <c r="B13" s="1283"/>
      <c r="C13" s="1283"/>
      <c r="D13" s="1283"/>
      <c r="E13" s="1287"/>
      <c r="F13" s="291"/>
      <c r="H13" s="1282"/>
      <c r="I13" s="1282"/>
      <c r="J13" s="1283"/>
      <c r="K13" s="1283"/>
      <c r="L13" s="1285"/>
      <c r="M13" s="291"/>
      <c r="N13" s="291"/>
      <c r="O13" s="291"/>
      <c r="P13" s="291"/>
      <c r="Q13" s="291"/>
    </row>
    <row r="14" spans="1:17" ht="15.75" customHeight="1">
      <c r="A14" s="910"/>
      <c r="B14" s="930">
        <v>1</v>
      </c>
      <c r="C14" s="931">
        <f>IF(C6*C5/12&gt;0,C6*C5/12,"0")</f>
        <v>75530.000000000015</v>
      </c>
      <c r="D14" s="931">
        <f>IF($C$10&gt;B14,0,IF(C14&lt;0.01,0,$C$8-C14))</f>
        <v>34085.690678873638</v>
      </c>
      <c r="E14" s="931">
        <f>IF(C6-D14&lt;0.01,0,C6-D14)</f>
        <v>23205914.309321132</v>
      </c>
      <c r="F14" s="291"/>
      <c r="H14" s="930">
        <f>H15-1</f>
        <v>0</v>
      </c>
      <c r="I14" s="930">
        <f>I15-1</f>
        <v>35</v>
      </c>
      <c r="J14" s="932">
        <v>0</v>
      </c>
      <c r="K14" s="931">
        <v>0</v>
      </c>
      <c r="L14" s="933">
        <v>0</v>
      </c>
      <c r="M14" s="291"/>
      <c r="N14" s="291"/>
      <c r="O14" s="291"/>
      <c r="P14" s="291"/>
      <c r="Q14" s="291"/>
    </row>
    <row r="15" spans="1:17" ht="15.75" customHeight="1">
      <c r="A15" s="910"/>
      <c r="B15" s="930">
        <v>2</v>
      </c>
      <c r="C15" s="931">
        <f>IF(E14&lt;0.01,0,E14*$C$5/12)</f>
        <v>75419.221505293681</v>
      </c>
      <c r="D15" s="931">
        <f>IF($C$10&gt;B15,0,IF(C15&lt;0.01,0,$C$8-C15))</f>
        <v>34196.469173579972</v>
      </c>
      <c r="E15" s="931">
        <f t="shared" ref="E15:E78" si="0">IF(E14&lt;0.01,0,E14-D15)</f>
        <v>23171717.840147551</v>
      </c>
      <c r="F15" s="291"/>
      <c r="H15" s="930">
        <v>1</v>
      </c>
      <c r="I15" s="930">
        <f>L4</f>
        <v>36</v>
      </c>
      <c r="J15" s="932">
        <f>IF(I6*I5/12&gt;0,I6*I5/12,"0")</f>
        <v>189359.57666073402</v>
      </c>
      <c r="K15" s="931">
        <f>IF($I$10&gt;H15,0,IF(J15&lt;0.01,0,$I$8-J15))</f>
        <v>0</v>
      </c>
      <c r="L15" s="933">
        <f>IF(I6-K15&lt;0.01,0,I6-K15)</f>
        <v>37871915.332146809</v>
      </c>
      <c r="M15" s="291"/>
      <c r="N15" s="291"/>
      <c r="O15" s="291"/>
      <c r="P15" s="291"/>
      <c r="Q15" s="291"/>
    </row>
    <row r="16" spans="1:17" ht="15.75" customHeight="1">
      <c r="A16" s="910"/>
      <c r="B16" s="930">
        <v>3</v>
      </c>
      <c r="C16" s="931">
        <f t="shared" ref="C16:C78" si="1">IF(E15&lt;0.01,0,E15*$C$5/12)</f>
        <v>75308.082980479536</v>
      </c>
      <c r="D16" s="931">
        <f>IF($C$10&gt;B16,0,IF(C16&lt;0.01,0,$C$8-C16))</f>
        <v>34307.607698394117</v>
      </c>
      <c r="E16" s="931">
        <f t="shared" si="0"/>
        <v>23137410.232449155</v>
      </c>
      <c r="F16" s="291"/>
      <c r="H16" s="930">
        <v>2</v>
      </c>
      <c r="I16" s="930">
        <f>I15+1</f>
        <v>37</v>
      </c>
      <c r="J16" s="931">
        <f t="shared" ref="J16:J79" si="2">IF(L15&lt;0.01,0,L15*$I$5/12)</f>
        <v>189359.57666073402</v>
      </c>
      <c r="K16" s="931">
        <f t="shared" ref="K16:K78" si="3">IF($I$10&gt;H16,0,IF(J16&lt;0.01,0,$I$8-J16))</f>
        <v>0</v>
      </c>
      <c r="L16" s="933">
        <f t="shared" ref="L16:L79" si="4">IF(L15&lt;0.01,0,L15-K16)</f>
        <v>37871915.332146809</v>
      </c>
      <c r="M16" s="291"/>
      <c r="N16" s="291"/>
      <c r="O16" s="291"/>
      <c r="P16" s="291"/>
      <c r="Q16" s="291"/>
    </row>
    <row r="17" spans="1:17" ht="15.75" customHeight="1">
      <c r="A17" s="910"/>
      <c r="B17" s="930">
        <v>4</v>
      </c>
      <c r="C17" s="931">
        <f t="shared" si="1"/>
        <v>75196.583255459758</v>
      </c>
      <c r="D17" s="931">
        <f t="shared" ref="D17:D77" si="5">IF($C$10&gt;B17,0,IF(C17&lt;0.01,0,$C$8-C17))</f>
        <v>34419.107423413894</v>
      </c>
      <c r="E17" s="931">
        <f t="shared" si="0"/>
        <v>23102991.125025742</v>
      </c>
      <c r="F17" s="291"/>
      <c r="H17" s="930">
        <v>3</v>
      </c>
      <c r="I17" s="930">
        <f t="shared" ref="I17:I80" si="6">I16+1</f>
        <v>38</v>
      </c>
      <c r="J17" s="931">
        <f t="shared" si="2"/>
        <v>189359.57666073402</v>
      </c>
      <c r="K17" s="931">
        <f t="shared" si="3"/>
        <v>0</v>
      </c>
      <c r="L17" s="933">
        <f t="shared" si="4"/>
        <v>37871915.332146809</v>
      </c>
      <c r="M17" s="291"/>
      <c r="N17" s="291"/>
      <c r="O17" s="291"/>
      <c r="P17" s="291"/>
      <c r="Q17" s="291"/>
    </row>
    <row r="18" spans="1:17" ht="15.75" customHeight="1">
      <c r="A18" s="910"/>
      <c r="B18" s="930">
        <v>5</v>
      </c>
      <c r="C18" s="931">
        <f>IF(E17&lt;0.01,0,E17*$C$5/12)</f>
        <v>75084.72115633366</v>
      </c>
      <c r="D18" s="931">
        <f t="shared" si="5"/>
        <v>34530.969522539992</v>
      </c>
      <c r="E18" s="931">
        <f>IF(E17&lt;0.01,0,E17-D18)</f>
        <v>23068460.155503202</v>
      </c>
      <c r="F18" s="291"/>
      <c r="H18" s="930">
        <v>4</v>
      </c>
      <c r="I18" s="930">
        <f t="shared" si="6"/>
        <v>39</v>
      </c>
      <c r="J18" s="931">
        <f t="shared" si="2"/>
        <v>189359.57666073402</v>
      </c>
      <c r="K18" s="931">
        <f t="shared" si="3"/>
        <v>0</v>
      </c>
      <c r="L18" s="933">
        <f t="shared" si="4"/>
        <v>37871915.332146809</v>
      </c>
      <c r="M18" s="291"/>
      <c r="N18" s="291"/>
      <c r="O18" s="291"/>
      <c r="P18" s="291"/>
      <c r="Q18" s="291"/>
    </row>
    <row r="19" spans="1:17" ht="15.75" customHeight="1">
      <c r="A19" s="910"/>
      <c r="B19" s="930">
        <v>6</v>
      </c>
      <c r="C19" s="931">
        <f t="shared" si="1"/>
        <v>74972.495505385406</v>
      </c>
      <c r="D19" s="931">
        <f t="shared" si="5"/>
        <v>34643.195173488246</v>
      </c>
      <c r="E19" s="931">
        <f t="shared" si="0"/>
        <v>23033816.960329715</v>
      </c>
      <c r="F19" s="291"/>
      <c r="H19" s="930">
        <v>5</v>
      </c>
      <c r="I19" s="930">
        <f t="shared" si="6"/>
        <v>40</v>
      </c>
      <c r="J19" s="931">
        <f t="shared" si="2"/>
        <v>189359.57666073402</v>
      </c>
      <c r="K19" s="931">
        <f t="shared" si="3"/>
        <v>0</v>
      </c>
      <c r="L19" s="933">
        <f t="shared" si="4"/>
        <v>37871915.332146809</v>
      </c>
      <c r="M19" s="291"/>
      <c r="N19" s="291"/>
      <c r="O19" s="291"/>
      <c r="P19" s="291"/>
      <c r="Q19" s="291"/>
    </row>
    <row r="20" spans="1:17" ht="15.75" customHeight="1">
      <c r="A20" s="910"/>
      <c r="B20" s="930">
        <v>7</v>
      </c>
      <c r="C20" s="931">
        <f t="shared" si="1"/>
        <v>74859.90512107157</v>
      </c>
      <c r="D20" s="931">
        <f t="shared" si="5"/>
        <v>34755.785557802083</v>
      </c>
      <c r="E20" s="931">
        <f t="shared" si="0"/>
        <v>22999061.174771912</v>
      </c>
      <c r="F20" s="291"/>
      <c r="H20" s="930">
        <v>6</v>
      </c>
      <c r="I20" s="930">
        <f t="shared" si="6"/>
        <v>41</v>
      </c>
      <c r="J20" s="931">
        <f t="shared" si="2"/>
        <v>189359.57666073402</v>
      </c>
      <c r="K20" s="931">
        <f t="shared" si="3"/>
        <v>0</v>
      </c>
      <c r="L20" s="933">
        <f t="shared" si="4"/>
        <v>37871915.332146809</v>
      </c>
      <c r="M20" s="291"/>
      <c r="N20" s="291"/>
      <c r="O20" s="291"/>
      <c r="P20" s="291"/>
      <c r="Q20" s="291"/>
    </row>
    <row r="21" spans="1:17" ht="15.75" customHeight="1">
      <c r="A21" s="910"/>
      <c r="B21" s="930">
        <v>8</v>
      </c>
      <c r="C21" s="931">
        <f t="shared" si="1"/>
        <v>74746.948818008721</v>
      </c>
      <c r="D21" s="931">
        <f t="shared" si="5"/>
        <v>34868.741860864931</v>
      </c>
      <c r="E21" s="931">
        <f t="shared" si="0"/>
        <v>22964192.432911046</v>
      </c>
      <c r="F21" s="291"/>
      <c r="H21" s="930">
        <v>7</v>
      </c>
      <c r="I21" s="930">
        <f t="shared" si="6"/>
        <v>42</v>
      </c>
      <c r="J21" s="931">
        <f t="shared" si="2"/>
        <v>189359.57666073402</v>
      </c>
      <c r="K21" s="931">
        <f t="shared" si="3"/>
        <v>0</v>
      </c>
      <c r="L21" s="933">
        <f t="shared" si="4"/>
        <v>37871915.332146809</v>
      </c>
      <c r="M21" s="291"/>
      <c r="N21" s="291"/>
      <c r="O21" s="291"/>
      <c r="P21" s="291"/>
      <c r="Q21" s="291"/>
    </row>
    <row r="22" spans="1:17" ht="15.75" customHeight="1">
      <c r="A22" s="910"/>
      <c r="B22" s="930">
        <v>9</v>
      </c>
      <c r="C22" s="931">
        <f t="shared" si="1"/>
        <v>74633.625406960899</v>
      </c>
      <c r="D22" s="931">
        <f t="shared" si="5"/>
        <v>34982.065271912754</v>
      </c>
      <c r="E22" s="931">
        <f t="shared" si="0"/>
        <v>22929210.367639132</v>
      </c>
      <c r="F22" s="291"/>
      <c r="H22" s="930">
        <v>8</v>
      </c>
      <c r="I22" s="930">
        <f t="shared" si="6"/>
        <v>43</v>
      </c>
      <c r="J22" s="931">
        <f t="shared" si="2"/>
        <v>189359.57666073402</v>
      </c>
      <c r="K22" s="931">
        <f t="shared" si="3"/>
        <v>0</v>
      </c>
      <c r="L22" s="933">
        <f t="shared" si="4"/>
        <v>37871915.332146809</v>
      </c>
      <c r="M22" s="291"/>
      <c r="N22" s="291"/>
      <c r="O22" s="291"/>
      <c r="P22" s="291"/>
      <c r="Q22" s="291"/>
    </row>
    <row r="23" spans="1:17" ht="15.75" customHeight="1">
      <c r="A23" s="910"/>
      <c r="B23" s="930">
        <v>10</v>
      </c>
      <c r="C23" s="931">
        <f t="shared" si="1"/>
        <v>74519.933694827181</v>
      </c>
      <c r="D23" s="931">
        <f t="shared" si="5"/>
        <v>35095.756984046471</v>
      </c>
      <c r="E23" s="931">
        <f t="shared" si="0"/>
        <v>22894114.610655084</v>
      </c>
      <c r="F23" s="291"/>
      <c r="G23" s="293"/>
      <c r="H23" s="930">
        <v>9</v>
      </c>
      <c r="I23" s="930">
        <f t="shared" si="6"/>
        <v>44</v>
      </c>
      <c r="J23" s="931">
        <f t="shared" si="2"/>
        <v>189359.57666073402</v>
      </c>
      <c r="K23" s="931">
        <f t="shared" si="3"/>
        <v>0</v>
      </c>
      <c r="L23" s="933">
        <f t="shared" si="4"/>
        <v>37871915.332146809</v>
      </c>
    </row>
    <row r="24" spans="1:17" ht="15.75" customHeight="1">
      <c r="A24" s="910"/>
      <c r="B24" s="930">
        <v>11</v>
      </c>
      <c r="C24" s="931">
        <f t="shared" si="1"/>
        <v>74405.872484629028</v>
      </c>
      <c r="D24" s="931">
        <f t="shared" si="5"/>
        <v>35209.818194244624</v>
      </c>
      <c r="E24" s="931">
        <f>IF(E23&lt;0.01,0,E23-D24)</f>
        <v>22858904.79246084</v>
      </c>
      <c r="F24" s="291"/>
      <c r="G24" s="293"/>
      <c r="H24" s="930">
        <v>10</v>
      </c>
      <c r="I24" s="930">
        <f t="shared" si="6"/>
        <v>45</v>
      </c>
      <c r="J24" s="931">
        <f t="shared" si="2"/>
        <v>189359.57666073402</v>
      </c>
      <c r="K24" s="931">
        <f t="shared" si="3"/>
        <v>0</v>
      </c>
      <c r="L24" s="933">
        <f t="shared" si="4"/>
        <v>37871915.332146809</v>
      </c>
    </row>
    <row r="25" spans="1:17" ht="15.75" customHeight="1">
      <c r="A25" s="929">
        <v>2</v>
      </c>
      <c r="B25" s="930">
        <v>12</v>
      </c>
      <c r="C25" s="931">
        <f t="shared" si="1"/>
        <v>74291.440575497734</v>
      </c>
      <c r="D25" s="931">
        <f t="shared" si="5"/>
        <v>35324.250103375918</v>
      </c>
      <c r="E25" s="931">
        <f t="shared" si="0"/>
        <v>22823580.542357463</v>
      </c>
      <c r="F25" s="934" t="s">
        <v>86</v>
      </c>
      <c r="G25" s="293"/>
      <c r="H25" s="930">
        <v>11</v>
      </c>
      <c r="I25" s="930">
        <f t="shared" si="6"/>
        <v>46</v>
      </c>
      <c r="J25" s="931">
        <f t="shared" si="2"/>
        <v>189359.57666073402</v>
      </c>
      <c r="K25" s="931">
        <f t="shared" si="3"/>
        <v>0</v>
      </c>
      <c r="L25" s="933">
        <f t="shared" si="4"/>
        <v>37871915.332146809</v>
      </c>
    </row>
    <row r="26" spans="1:17" ht="15.75" customHeight="1">
      <c r="A26" s="910"/>
      <c r="B26" s="930">
        <v>13</v>
      </c>
      <c r="C26" s="931">
        <f t="shared" si="1"/>
        <v>74176.636762661758</v>
      </c>
      <c r="D26" s="931">
        <f t="shared" si="5"/>
        <v>35439.053916211895</v>
      </c>
      <c r="E26" s="931">
        <f t="shared" si="0"/>
        <v>22788141.488441251</v>
      </c>
      <c r="F26" s="291"/>
      <c r="G26" s="293"/>
      <c r="H26" s="930">
        <v>12</v>
      </c>
      <c r="I26" s="930">
        <f t="shared" si="6"/>
        <v>47</v>
      </c>
      <c r="J26" s="931">
        <f t="shared" si="2"/>
        <v>189359.57666073402</v>
      </c>
      <c r="K26" s="931">
        <f t="shared" si="3"/>
        <v>0</v>
      </c>
      <c r="L26" s="933">
        <f t="shared" si="4"/>
        <v>37871915.332146809</v>
      </c>
    </row>
    <row r="27" spans="1:17" ht="15.75" customHeight="1">
      <c r="A27" s="910"/>
      <c r="B27" s="930">
        <v>14</v>
      </c>
      <c r="C27" s="931">
        <f t="shared" si="1"/>
        <v>74061.459837434071</v>
      </c>
      <c r="D27" s="931">
        <f t="shared" si="5"/>
        <v>35554.230841439581</v>
      </c>
      <c r="E27" s="931">
        <f t="shared" si="0"/>
        <v>22752587.257599812</v>
      </c>
      <c r="F27" s="291"/>
      <c r="G27" s="293"/>
      <c r="H27" s="930">
        <v>13</v>
      </c>
      <c r="I27" s="930">
        <f t="shared" si="6"/>
        <v>48</v>
      </c>
      <c r="J27" s="931">
        <f t="shared" si="2"/>
        <v>189359.57666073402</v>
      </c>
      <c r="K27" s="931">
        <f t="shared" si="3"/>
        <v>0</v>
      </c>
      <c r="L27" s="933">
        <f t="shared" si="4"/>
        <v>37871915.332146809</v>
      </c>
    </row>
    <row r="28" spans="1:17" ht="15.75" customHeight="1">
      <c r="A28" s="910"/>
      <c r="B28" s="930">
        <v>15</v>
      </c>
      <c r="C28" s="931">
        <f t="shared" si="1"/>
        <v>73945.908587199388</v>
      </c>
      <c r="D28" s="931">
        <f t="shared" si="5"/>
        <v>35669.782091674264</v>
      </c>
      <c r="E28" s="931">
        <f t="shared" si="0"/>
        <v>22716917.475508139</v>
      </c>
      <c r="F28" s="291"/>
      <c r="G28" s="293"/>
      <c r="H28" s="930">
        <v>14</v>
      </c>
      <c r="I28" s="930">
        <f t="shared" si="6"/>
        <v>49</v>
      </c>
      <c r="J28" s="931">
        <f t="shared" si="2"/>
        <v>189359.57666073402</v>
      </c>
      <c r="K28" s="931">
        <f t="shared" si="3"/>
        <v>0</v>
      </c>
      <c r="L28" s="933">
        <f t="shared" si="4"/>
        <v>37871915.332146809</v>
      </c>
    </row>
    <row r="29" spans="1:17" ht="15.75" customHeight="1">
      <c r="A29" s="910"/>
      <c r="B29" s="930">
        <v>16</v>
      </c>
      <c r="C29" s="931">
        <f t="shared" si="1"/>
        <v>73829.981795401443</v>
      </c>
      <c r="D29" s="931">
        <f t="shared" si="5"/>
        <v>35785.708883472209</v>
      </c>
      <c r="E29" s="931">
        <f t="shared" si="0"/>
        <v>22681131.766624667</v>
      </c>
      <c r="F29" s="291"/>
      <c r="G29" s="293"/>
      <c r="H29" s="930">
        <v>15</v>
      </c>
      <c r="I29" s="930">
        <f t="shared" si="6"/>
        <v>50</v>
      </c>
      <c r="J29" s="931">
        <f t="shared" si="2"/>
        <v>189359.57666073402</v>
      </c>
      <c r="K29" s="931">
        <f t="shared" si="3"/>
        <v>0</v>
      </c>
      <c r="L29" s="933">
        <f t="shared" si="4"/>
        <v>37871915.332146809</v>
      </c>
    </row>
    <row r="30" spans="1:17" ht="15.75" customHeight="1">
      <c r="A30" s="910"/>
      <c r="B30" s="930">
        <v>17</v>
      </c>
      <c r="C30" s="931">
        <f t="shared" si="1"/>
        <v>73713.678241530171</v>
      </c>
      <c r="D30" s="931">
        <f t="shared" si="5"/>
        <v>35902.012437343481</v>
      </c>
      <c r="E30" s="931">
        <f t="shared" si="0"/>
        <v>22645229.754187323</v>
      </c>
      <c r="F30" s="291"/>
      <c r="G30" s="293"/>
      <c r="H30" s="930">
        <v>16</v>
      </c>
      <c r="I30" s="930">
        <f t="shared" si="6"/>
        <v>51</v>
      </c>
      <c r="J30" s="931">
        <f t="shared" si="2"/>
        <v>189359.57666073402</v>
      </c>
      <c r="K30" s="931">
        <f t="shared" si="3"/>
        <v>0</v>
      </c>
      <c r="L30" s="933">
        <f t="shared" si="4"/>
        <v>37871915.332146809</v>
      </c>
    </row>
    <row r="31" spans="1:17" ht="15.75" customHeight="1">
      <c r="A31" s="910"/>
      <c r="B31" s="930">
        <v>18</v>
      </c>
      <c r="C31" s="931">
        <f t="shared" si="1"/>
        <v>73596.996701108801</v>
      </c>
      <c r="D31" s="931">
        <f t="shared" si="5"/>
        <v>36018.693977764851</v>
      </c>
      <c r="E31" s="931">
        <f t="shared" si="0"/>
        <v>22609211.060209557</v>
      </c>
      <c r="F31" s="291"/>
      <c r="G31" s="293"/>
      <c r="H31" s="930">
        <v>17</v>
      </c>
      <c r="I31" s="930">
        <f t="shared" si="6"/>
        <v>52</v>
      </c>
      <c r="J31" s="931">
        <f t="shared" si="2"/>
        <v>189359.57666073402</v>
      </c>
      <c r="K31" s="931">
        <f t="shared" si="3"/>
        <v>0</v>
      </c>
      <c r="L31" s="933">
        <f t="shared" si="4"/>
        <v>37871915.332146809</v>
      </c>
    </row>
    <row r="32" spans="1:17" ht="15.75" customHeight="1">
      <c r="A32" s="910"/>
      <c r="B32" s="930">
        <v>19</v>
      </c>
      <c r="C32" s="931">
        <f t="shared" si="1"/>
        <v>73479.935945681063</v>
      </c>
      <c r="D32" s="931">
        <f t="shared" si="5"/>
        <v>36135.754733192589</v>
      </c>
      <c r="E32" s="931">
        <f t="shared" si="0"/>
        <v>22573075.305476364</v>
      </c>
      <c r="F32" s="291"/>
      <c r="G32" s="293"/>
      <c r="H32" s="930">
        <v>18</v>
      </c>
      <c r="I32" s="930">
        <f t="shared" si="6"/>
        <v>53</v>
      </c>
      <c r="J32" s="931">
        <f t="shared" si="2"/>
        <v>189359.57666073402</v>
      </c>
      <c r="K32" s="931">
        <f t="shared" si="3"/>
        <v>0</v>
      </c>
      <c r="L32" s="933">
        <f t="shared" si="4"/>
        <v>37871915.332146809</v>
      </c>
    </row>
    <row r="33" spans="1:12" ht="15.75" customHeight="1">
      <c r="A33" s="910"/>
      <c r="B33" s="930">
        <v>20</v>
      </c>
      <c r="C33" s="931">
        <f t="shared" si="1"/>
        <v>73362.494742798182</v>
      </c>
      <c r="D33" s="931">
        <f t="shared" si="5"/>
        <v>36253.19593607547</v>
      </c>
      <c r="E33" s="931">
        <f t="shared" si="0"/>
        <v>22536822.109540287</v>
      </c>
      <c r="F33" s="291"/>
      <c r="G33" s="293"/>
      <c r="H33" s="930">
        <v>19</v>
      </c>
      <c r="I33" s="930">
        <f t="shared" si="6"/>
        <v>54</v>
      </c>
      <c r="J33" s="931">
        <f t="shared" si="2"/>
        <v>189359.57666073402</v>
      </c>
      <c r="K33" s="931">
        <f t="shared" si="3"/>
        <v>0</v>
      </c>
      <c r="L33" s="933">
        <f t="shared" si="4"/>
        <v>37871915.332146809</v>
      </c>
    </row>
    <row r="34" spans="1:12" ht="15.75" customHeight="1">
      <c r="A34" s="910"/>
      <c r="B34" s="930">
        <v>21</v>
      </c>
      <c r="C34" s="931">
        <f t="shared" si="1"/>
        <v>73244.671856005938</v>
      </c>
      <c r="D34" s="931">
        <f t="shared" si="5"/>
        <v>36371.018822867714</v>
      </c>
      <c r="E34" s="931">
        <f t="shared" si="0"/>
        <v>22500451.09071742</v>
      </c>
      <c r="F34" s="291"/>
      <c r="G34" s="293"/>
      <c r="H34" s="930">
        <v>20</v>
      </c>
      <c r="I34" s="930">
        <f t="shared" si="6"/>
        <v>55</v>
      </c>
      <c r="J34" s="931">
        <f t="shared" si="2"/>
        <v>189359.57666073402</v>
      </c>
      <c r="K34" s="931">
        <f t="shared" si="3"/>
        <v>0</v>
      </c>
      <c r="L34" s="933">
        <f t="shared" si="4"/>
        <v>37871915.332146809</v>
      </c>
    </row>
    <row r="35" spans="1:12" ht="15.75" customHeight="1">
      <c r="A35" s="910"/>
      <c r="B35" s="930">
        <v>22</v>
      </c>
      <c r="C35" s="931">
        <f t="shared" si="1"/>
        <v>73126.466044831614</v>
      </c>
      <c r="D35" s="931">
        <f t="shared" si="5"/>
        <v>36489.224634042039</v>
      </c>
      <c r="E35" s="931">
        <f t="shared" si="0"/>
        <v>22463961.866083376</v>
      </c>
      <c r="F35" s="291"/>
      <c r="G35" s="293"/>
      <c r="H35" s="930">
        <v>21</v>
      </c>
      <c r="I35" s="930">
        <f t="shared" si="6"/>
        <v>56</v>
      </c>
      <c r="J35" s="931">
        <f t="shared" si="2"/>
        <v>189359.57666073402</v>
      </c>
      <c r="K35" s="931">
        <f t="shared" si="3"/>
        <v>0</v>
      </c>
      <c r="L35" s="933">
        <f t="shared" si="4"/>
        <v>37871915.332146809</v>
      </c>
    </row>
    <row r="36" spans="1:12" ht="15.75" customHeight="1">
      <c r="A36" s="910"/>
      <c r="B36" s="930">
        <v>23</v>
      </c>
      <c r="C36" s="931">
        <f t="shared" si="1"/>
        <v>73007.876064770971</v>
      </c>
      <c r="D36" s="931">
        <f t="shared" si="5"/>
        <v>36607.814614102681</v>
      </c>
      <c r="E36" s="931">
        <f t="shared" si="0"/>
        <v>22427354.051469274</v>
      </c>
      <c r="F36" s="291"/>
      <c r="G36" s="293"/>
      <c r="H36" s="930">
        <v>22</v>
      </c>
      <c r="I36" s="930">
        <f t="shared" si="6"/>
        <v>57</v>
      </c>
      <c r="J36" s="931">
        <f t="shared" si="2"/>
        <v>189359.57666073402</v>
      </c>
      <c r="K36" s="931">
        <f t="shared" si="3"/>
        <v>0</v>
      </c>
      <c r="L36" s="933">
        <f t="shared" si="4"/>
        <v>37871915.332146809</v>
      </c>
    </row>
    <row r="37" spans="1:12" ht="15.75" customHeight="1">
      <c r="A37" s="929">
        <v>3</v>
      </c>
      <c r="B37" s="930">
        <v>24</v>
      </c>
      <c r="C37" s="931">
        <f t="shared" si="1"/>
        <v>72888.900667275142</v>
      </c>
      <c r="D37" s="931">
        <f t="shared" si="5"/>
        <v>36726.79001159851</v>
      </c>
      <c r="E37" s="931">
        <f t="shared" si="0"/>
        <v>22390627.261457674</v>
      </c>
      <c r="F37" s="291"/>
      <c r="G37" s="293"/>
      <c r="H37" s="930">
        <v>23</v>
      </c>
      <c r="I37" s="930">
        <f t="shared" si="6"/>
        <v>58</v>
      </c>
      <c r="J37" s="931">
        <f t="shared" si="2"/>
        <v>189359.57666073402</v>
      </c>
      <c r="K37" s="931">
        <f t="shared" si="3"/>
        <v>0</v>
      </c>
      <c r="L37" s="933">
        <f t="shared" si="4"/>
        <v>37871915.332146809</v>
      </c>
    </row>
    <row r="38" spans="1:12" ht="15.75" customHeight="1">
      <c r="A38" s="910"/>
      <c r="B38" s="930">
        <v>25</v>
      </c>
      <c r="C38" s="931">
        <f t="shared" si="1"/>
        <v>72769.53859973744</v>
      </c>
      <c r="D38" s="931">
        <f t="shared" si="5"/>
        <v>36846.152079136213</v>
      </c>
      <c r="E38" s="931">
        <f t="shared" si="0"/>
        <v>22353781.109378539</v>
      </c>
      <c r="F38" s="291"/>
      <c r="G38" s="293"/>
      <c r="H38" s="930">
        <v>24</v>
      </c>
      <c r="I38" s="930">
        <f t="shared" si="6"/>
        <v>59</v>
      </c>
      <c r="J38" s="931">
        <f t="shared" si="2"/>
        <v>189359.57666073402</v>
      </c>
      <c r="K38" s="931">
        <f t="shared" si="3"/>
        <v>0</v>
      </c>
      <c r="L38" s="933">
        <f t="shared" si="4"/>
        <v>37871915.332146809</v>
      </c>
    </row>
    <row r="39" spans="1:12" ht="15.75" customHeight="1">
      <c r="A39" s="910"/>
      <c r="B39" s="930">
        <v>26</v>
      </c>
      <c r="C39" s="931">
        <f t="shared" si="1"/>
        <v>72649.788605480251</v>
      </c>
      <c r="D39" s="931">
        <f t="shared" si="5"/>
        <v>36965.902073393401</v>
      </c>
      <c r="E39" s="931">
        <f t="shared" si="0"/>
        <v>22316815.207305145</v>
      </c>
      <c r="F39" s="291"/>
      <c r="G39" s="293"/>
      <c r="H39" s="930">
        <v>25</v>
      </c>
      <c r="I39" s="930">
        <f t="shared" si="6"/>
        <v>60</v>
      </c>
      <c r="J39" s="931">
        <f t="shared" si="2"/>
        <v>189359.57666073402</v>
      </c>
      <c r="K39" s="931">
        <f t="shared" si="3"/>
        <v>37701.690598557878</v>
      </c>
      <c r="L39" s="933">
        <f t="shared" si="4"/>
        <v>37834213.641548254</v>
      </c>
    </row>
    <row r="40" spans="1:12" ht="15.75" customHeight="1">
      <c r="A40" s="910"/>
      <c r="B40" s="930">
        <v>27</v>
      </c>
      <c r="C40" s="931">
        <f t="shared" si="1"/>
        <v>72529.649423741721</v>
      </c>
      <c r="D40" s="931">
        <f t="shared" si="5"/>
        <v>37086.041255131931</v>
      </c>
      <c r="E40" s="931">
        <f t="shared" si="0"/>
        <v>22279729.166050013</v>
      </c>
      <c r="F40" s="291"/>
      <c r="G40" s="293"/>
      <c r="H40" s="930">
        <v>26</v>
      </c>
      <c r="I40" s="930">
        <f t="shared" si="6"/>
        <v>61</v>
      </c>
      <c r="J40" s="931">
        <f t="shared" si="2"/>
        <v>189171.06820774125</v>
      </c>
      <c r="K40" s="931">
        <f t="shared" si="3"/>
        <v>37890.199051550648</v>
      </c>
      <c r="L40" s="933">
        <f t="shared" si="4"/>
        <v>37796323.442496702</v>
      </c>
    </row>
    <row r="41" spans="1:12" ht="15.75" customHeight="1">
      <c r="A41" s="910"/>
      <c r="B41" s="930">
        <v>28</v>
      </c>
      <c r="C41" s="931">
        <f t="shared" si="1"/>
        <v>72409.119789662538</v>
      </c>
      <c r="D41" s="931">
        <f t="shared" si="5"/>
        <v>37206.570889211114</v>
      </c>
      <c r="E41" s="931">
        <f t="shared" si="0"/>
        <v>22242522.595160801</v>
      </c>
      <c r="F41" s="291"/>
      <c r="G41" s="293"/>
      <c r="H41" s="930">
        <v>27</v>
      </c>
      <c r="I41" s="930">
        <f t="shared" si="6"/>
        <v>62</v>
      </c>
      <c r="J41" s="931">
        <f t="shared" si="2"/>
        <v>188981.61721248351</v>
      </c>
      <c r="K41" s="931">
        <f t="shared" si="3"/>
        <v>38079.650046808383</v>
      </c>
      <c r="L41" s="933">
        <f t="shared" si="4"/>
        <v>37758243.792449892</v>
      </c>
    </row>
    <row r="42" spans="1:12" ht="15.75" customHeight="1">
      <c r="A42" s="910"/>
      <c r="B42" s="930">
        <v>29</v>
      </c>
      <c r="C42" s="931">
        <f t="shared" si="1"/>
        <v>72288.198434272606</v>
      </c>
      <c r="D42" s="931">
        <f t="shared" si="5"/>
        <v>37327.492244601046</v>
      </c>
      <c r="E42" s="931">
        <f t="shared" si="0"/>
        <v>22205195.1029162</v>
      </c>
      <c r="F42" s="291"/>
      <c r="G42" s="293"/>
      <c r="H42" s="930">
        <v>28</v>
      </c>
      <c r="I42" s="930">
        <f t="shared" si="6"/>
        <v>63</v>
      </c>
      <c r="J42" s="931">
        <f t="shared" si="2"/>
        <v>188791.21896224946</v>
      </c>
      <c r="K42" s="931">
        <f t="shared" si="3"/>
        <v>38270.048297042435</v>
      </c>
      <c r="L42" s="933">
        <f t="shared" si="4"/>
        <v>37719973.744152851</v>
      </c>
    </row>
    <row r="43" spans="1:12" ht="15.75" customHeight="1">
      <c r="A43" s="910"/>
      <c r="B43" s="930">
        <v>30</v>
      </c>
      <c r="C43" s="931">
        <f t="shared" si="1"/>
        <v>72166.884084477657</v>
      </c>
      <c r="D43" s="931">
        <f t="shared" si="5"/>
        <v>37448.806594395995</v>
      </c>
      <c r="E43" s="931">
        <f t="shared" si="0"/>
        <v>22167746.296321806</v>
      </c>
      <c r="F43" s="291"/>
      <c r="G43" s="293"/>
      <c r="H43" s="930">
        <v>29</v>
      </c>
      <c r="I43" s="930">
        <f t="shared" si="6"/>
        <v>64</v>
      </c>
      <c r="J43" s="931">
        <f t="shared" si="2"/>
        <v>188599.86872076427</v>
      </c>
      <c r="K43" s="931">
        <f t="shared" si="3"/>
        <v>38461.398538527632</v>
      </c>
      <c r="L43" s="933">
        <f t="shared" si="4"/>
        <v>37681512.345614322</v>
      </c>
    </row>
    <row r="44" spans="1:12" ht="15.75" customHeight="1">
      <c r="A44" s="910"/>
      <c r="B44" s="930">
        <v>31</v>
      </c>
      <c r="C44" s="931">
        <f t="shared" si="1"/>
        <v>72045.175463045874</v>
      </c>
      <c r="D44" s="931">
        <f t="shared" si="5"/>
        <v>37570.515215827778</v>
      </c>
      <c r="E44" s="931">
        <f t="shared" si="0"/>
        <v>22130175.781105977</v>
      </c>
      <c r="F44" s="291"/>
      <c r="G44" s="293"/>
      <c r="H44" s="930">
        <v>30</v>
      </c>
      <c r="I44" s="930">
        <f t="shared" si="6"/>
        <v>65</v>
      </c>
      <c r="J44" s="931">
        <f t="shared" si="2"/>
        <v>188407.56172807163</v>
      </c>
      <c r="K44" s="931">
        <f t="shared" si="3"/>
        <v>38653.705531220272</v>
      </c>
      <c r="L44" s="933">
        <f t="shared" si="4"/>
        <v>37642858.640083104</v>
      </c>
    </row>
    <row r="45" spans="1:12" ht="15.75" customHeight="1">
      <c r="A45" s="910"/>
      <c r="B45" s="930">
        <v>32</v>
      </c>
      <c r="C45" s="931">
        <f t="shared" si="1"/>
        <v>71923.071288594423</v>
      </c>
      <c r="D45" s="931">
        <f t="shared" si="5"/>
        <v>37692.619390279229</v>
      </c>
      <c r="E45" s="931">
        <f t="shared" si="0"/>
        <v>22092483.161715697</v>
      </c>
      <c r="F45" s="291"/>
      <c r="G45" s="293"/>
      <c r="H45" s="930">
        <v>31</v>
      </c>
      <c r="I45" s="930">
        <f t="shared" si="6"/>
        <v>66</v>
      </c>
      <c r="J45" s="931">
        <f t="shared" si="2"/>
        <v>188214.29320041553</v>
      </c>
      <c r="K45" s="931">
        <f t="shared" si="3"/>
        <v>38846.974058876367</v>
      </c>
      <c r="L45" s="933">
        <f t="shared" si="4"/>
        <v>37604011.66602423</v>
      </c>
    </row>
    <row r="46" spans="1:12" ht="15.75" customHeight="1">
      <c r="A46" s="910"/>
      <c r="B46" s="930">
        <v>33</v>
      </c>
      <c r="C46" s="931">
        <f t="shared" si="1"/>
        <v>71800.570275576014</v>
      </c>
      <c r="D46" s="931">
        <f t="shared" si="5"/>
        <v>37815.120403297638</v>
      </c>
      <c r="E46" s="931">
        <f t="shared" si="0"/>
        <v>22054668.0413124</v>
      </c>
      <c r="F46" s="291"/>
      <c r="G46" s="293"/>
      <c r="H46" s="930">
        <v>32</v>
      </c>
      <c r="I46" s="930">
        <f t="shared" si="6"/>
        <v>67</v>
      </c>
      <c r="J46" s="931">
        <f t="shared" si="2"/>
        <v>188020.05833012113</v>
      </c>
      <c r="K46" s="931">
        <f t="shared" si="3"/>
        <v>39041.208929170767</v>
      </c>
      <c r="L46" s="933">
        <f t="shared" si="4"/>
        <v>37564970.457095057</v>
      </c>
    </row>
    <row r="47" spans="1:12" ht="15.75" customHeight="1">
      <c r="A47" s="910"/>
      <c r="B47" s="930">
        <v>34</v>
      </c>
      <c r="C47" s="931">
        <f t="shared" si="1"/>
        <v>71677.6711342653</v>
      </c>
      <c r="D47" s="931">
        <f t="shared" si="5"/>
        <v>37938.019544608353</v>
      </c>
      <c r="E47" s="931">
        <f t="shared" si="0"/>
        <v>22016730.021767791</v>
      </c>
      <c r="F47" s="291"/>
      <c r="G47" s="293"/>
      <c r="H47" s="930">
        <v>33</v>
      </c>
      <c r="I47" s="930">
        <f t="shared" si="6"/>
        <v>68</v>
      </c>
      <c r="J47" s="931">
        <f t="shared" si="2"/>
        <v>187824.85228547527</v>
      </c>
      <c r="K47" s="931">
        <f t="shared" si="3"/>
        <v>39236.414973816631</v>
      </c>
      <c r="L47" s="933">
        <f t="shared" si="4"/>
        <v>37525734.042121239</v>
      </c>
    </row>
    <row r="48" spans="1:12" ht="15.75" customHeight="1">
      <c r="A48" s="910"/>
      <c r="B48" s="930">
        <v>35</v>
      </c>
      <c r="C48" s="931">
        <f t="shared" si="1"/>
        <v>71554.372570745312</v>
      </c>
      <c r="D48" s="931">
        <f t="shared" si="5"/>
        <v>38061.31810812834</v>
      </c>
      <c r="E48" s="931">
        <f t="shared" si="0"/>
        <v>21978668.703659665</v>
      </c>
      <c r="F48" s="934"/>
      <c r="G48" s="293"/>
      <c r="H48" s="930">
        <v>34</v>
      </c>
      <c r="I48" s="930">
        <f t="shared" si="6"/>
        <v>69</v>
      </c>
      <c r="J48" s="931">
        <f t="shared" si="2"/>
        <v>187628.67021060619</v>
      </c>
      <c r="K48" s="931">
        <f t="shared" si="3"/>
        <v>39432.597048685711</v>
      </c>
      <c r="L48" s="933">
        <f t="shared" si="4"/>
        <v>37486301.445072554</v>
      </c>
    </row>
    <row r="49" spans="1:17" ht="15.75" customHeight="1">
      <c r="A49" s="929">
        <v>4</v>
      </c>
      <c r="B49" s="930">
        <v>36</v>
      </c>
      <c r="C49" s="931">
        <f t="shared" si="1"/>
        <v>71430.673286893914</v>
      </c>
      <c r="D49" s="931">
        <f t="shared" si="5"/>
        <v>38185.017391979738</v>
      </c>
      <c r="E49" s="931">
        <f t="shared" si="0"/>
        <v>21940483.686267685</v>
      </c>
      <c r="F49" s="291"/>
      <c r="G49" s="293"/>
      <c r="H49" s="930">
        <v>35</v>
      </c>
      <c r="I49" s="930">
        <f t="shared" si="6"/>
        <v>70</v>
      </c>
      <c r="J49" s="931">
        <f t="shared" si="2"/>
        <v>187431.50722536279</v>
      </c>
      <c r="K49" s="931">
        <f t="shared" si="3"/>
        <v>39629.760033929109</v>
      </c>
      <c r="L49" s="933">
        <f t="shared" si="4"/>
        <v>37446671.685038626</v>
      </c>
    </row>
    <row r="50" spans="1:17" ht="15.75" customHeight="1">
      <c r="A50" s="910"/>
      <c r="B50" s="930">
        <v>37</v>
      </c>
      <c r="C50" s="931">
        <f t="shared" si="1"/>
        <v>71306.571980369976</v>
      </c>
      <c r="D50" s="931">
        <f t="shared" si="5"/>
        <v>38309.118698503677</v>
      </c>
      <c r="E50" s="931">
        <f t="shared" si="0"/>
        <v>21902174.567569181</v>
      </c>
      <c r="F50" s="291"/>
      <c r="G50" s="293"/>
      <c r="H50" s="930">
        <v>36</v>
      </c>
      <c r="I50" s="930">
        <f t="shared" si="6"/>
        <v>71</v>
      </c>
      <c r="J50" s="931">
        <f t="shared" si="2"/>
        <v>187233.35842519312</v>
      </c>
      <c r="K50" s="931">
        <f t="shared" si="3"/>
        <v>39827.90883409878</v>
      </c>
      <c r="L50" s="933">
        <f t="shared" si="4"/>
        <v>37406843.776204526</v>
      </c>
    </row>
    <row r="51" spans="1:17" ht="15.75" customHeight="1">
      <c r="A51" s="910"/>
      <c r="B51" s="930">
        <v>38</v>
      </c>
      <c r="C51" s="931">
        <f t="shared" si="1"/>
        <v>71182.06734459984</v>
      </c>
      <c r="D51" s="931">
        <f t="shared" si="5"/>
        <v>38433.623334273812</v>
      </c>
      <c r="E51" s="931">
        <f t="shared" si="0"/>
        <v>21863740.944234908</v>
      </c>
      <c r="F51" s="291"/>
      <c r="G51" s="293"/>
      <c r="H51" s="930">
        <v>37</v>
      </c>
      <c r="I51" s="930">
        <f t="shared" si="6"/>
        <v>72</v>
      </c>
      <c r="J51" s="931">
        <f t="shared" si="2"/>
        <v>187034.21888102262</v>
      </c>
      <c r="K51" s="931">
        <f t="shared" si="3"/>
        <v>40027.048378269275</v>
      </c>
      <c r="L51" s="933">
        <f t="shared" si="4"/>
        <v>37366816.72782626</v>
      </c>
    </row>
    <row r="52" spans="1:17">
      <c r="A52" s="910"/>
      <c r="B52" s="930">
        <v>39</v>
      </c>
      <c r="C52" s="931">
        <f t="shared" si="1"/>
        <v>71057.158068763456</v>
      </c>
      <c r="D52" s="931">
        <f t="shared" si="5"/>
        <v>38558.532610110196</v>
      </c>
      <c r="E52" s="931">
        <f t="shared" si="0"/>
        <v>21825182.411624797</v>
      </c>
      <c r="F52" s="291"/>
      <c r="G52" s="293"/>
      <c r="H52" s="930">
        <v>38</v>
      </c>
      <c r="I52" s="930">
        <f t="shared" si="6"/>
        <v>73</v>
      </c>
      <c r="J52" s="931">
        <f t="shared" si="2"/>
        <v>186834.08363913128</v>
      </c>
      <c r="K52" s="931">
        <f t="shared" si="3"/>
        <v>40227.18362016062</v>
      </c>
      <c r="L52" s="933">
        <f t="shared" si="4"/>
        <v>37326589.544206098</v>
      </c>
    </row>
    <row r="53" spans="1:17">
      <c r="A53" s="910"/>
      <c r="B53" s="930">
        <v>40</v>
      </c>
      <c r="C53" s="931">
        <f t="shared" si="1"/>
        <v>70931.842837780583</v>
      </c>
      <c r="D53" s="931">
        <f t="shared" si="5"/>
        <v>38683.847841093069</v>
      </c>
      <c r="E53" s="931">
        <f t="shared" si="0"/>
        <v>21786498.563783705</v>
      </c>
      <c r="F53" s="291"/>
      <c r="G53" s="293"/>
      <c r="H53" s="930">
        <v>39</v>
      </c>
      <c r="I53" s="930">
        <f t="shared" si="6"/>
        <v>74</v>
      </c>
      <c r="J53" s="931">
        <f t="shared" si="2"/>
        <v>186632.94772103048</v>
      </c>
      <c r="K53" s="931">
        <f t="shared" si="3"/>
        <v>40428.319538261421</v>
      </c>
      <c r="L53" s="933">
        <f t="shared" si="4"/>
        <v>37286161.22466784</v>
      </c>
    </row>
    <row r="54" spans="1:17">
      <c r="A54" s="910"/>
      <c r="B54" s="930">
        <v>41</v>
      </c>
      <c r="C54" s="931">
        <f t="shared" si="1"/>
        <v>70806.12033229704</v>
      </c>
      <c r="D54" s="931">
        <f t="shared" si="5"/>
        <v>38809.570346576613</v>
      </c>
      <c r="E54" s="931">
        <f t="shared" si="0"/>
        <v>21747688.99343713</v>
      </c>
      <c r="F54" s="291"/>
      <c r="G54" s="293"/>
      <c r="H54" s="930">
        <v>40</v>
      </c>
      <c r="I54" s="930">
        <f t="shared" si="6"/>
        <v>75</v>
      </c>
      <c r="J54" s="931">
        <f t="shared" si="2"/>
        <v>186430.80612333919</v>
      </c>
      <c r="K54" s="931">
        <f t="shared" si="3"/>
        <v>40630.461135952704</v>
      </c>
      <c r="L54" s="933">
        <f t="shared" si="4"/>
        <v>37245530.763531886</v>
      </c>
    </row>
    <row r="55" spans="1:17">
      <c r="A55" s="910"/>
      <c r="B55" s="930">
        <v>42</v>
      </c>
      <c r="C55" s="931">
        <f t="shared" si="1"/>
        <v>70679.989228670674</v>
      </c>
      <c r="D55" s="931">
        <f t="shared" si="5"/>
        <v>38935.701450202978</v>
      </c>
      <c r="E55" s="931">
        <f t="shared" si="0"/>
        <v>21708753.291986927</v>
      </c>
      <c r="F55" s="291"/>
      <c r="G55" s="293"/>
      <c r="H55" s="930">
        <v>41</v>
      </c>
      <c r="I55" s="930">
        <f t="shared" si="6"/>
        <v>76</v>
      </c>
      <c r="J55" s="931">
        <f t="shared" si="2"/>
        <v>186227.65381765945</v>
      </c>
      <c r="K55" s="931">
        <f t="shared" si="3"/>
        <v>40833.613441632449</v>
      </c>
      <c r="L55" s="933">
        <f t="shared" si="4"/>
        <v>37204697.150090255</v>
      </c>
    </row>
    <row r="56" spans="1:17">
      <c r="A56" s="910"/>
      <c r="B56" s="930">
        <v>43</v>
      </c>
      <c r="C56" s="931">
        <f t="shared" si="1"/>
        <v>70553.448198957514</v>
      </c>
      <c r="D56" s="931">
        <f t="shared" si="5"/>
        <v>39062.242479916138</v>
      </c>
      <c r="E56" s="931">
        <f t="shared" si="0"/>
        <v>21669691.049507011</v>
      </c>
      <c r="F56" s="291"/>
      <c r="G56" s="293"/>
      <c r="H56" s="930">
        <v>42</v>
      </c>
      <c r="I56" s="930">
        <f t="shared" si="6"/>
        <v>77</v>
      </c>
      <c r="J56" s="931">
        <f t="shared" si="2"/>
        <v>186023.48575045125</v>
      </c>
      <c r="K56" s="931">
        <f t="shared" si="3"/>
        <v>41037.78150884065</v>
      </c>
      <c r="L56" s="933">
        <f t="shared" si="4"/>
        <v>37163659.368581414</v>
      </c>
    </row>
    <row r="57" spans="1:17">
      <c r="A57" s="910"/>
      <c r="B57" s="930">
        <v>44</v>
      </c>
      <c r="C57" s="931">
        <f t="shared" si="1"/>
        <v>70426.495910897778</v>
      </c>
      <c r="D57" s="931">
        <f t="shared" si="5"/>
        <v>39189.194767975874</v>
      </c>
      <c r="E57" s="931">
        <f t="shared" si="0"/>
        <v>21630501.854739036</v>
      </c>
      <c r="F57" s="291"/>
      <c r="G57" s="293"/>
      <c r="H57" s="930">
        <v>43</v>
      </c>
      <c r="I57" s="930">
        <f t="shared" si="6"/>
        <v>78</v>
      </c>
      <c r="J57" s="931">
        <f t="shared" si="2"/>
        <v>185818.29684290706</v>
      </c>
      <c r="K57" s="931">
        <f t="shared" si="3"/>
        <v>41242.970416384836</v>
      </c>
      <c r="L57" s="933">
        <f t="shared" si="4"/>
        <v>37122416.398165032</v>
      </c>
    </row>
    <row r="58" spans="1:17">
      <c r="A58" s="910"/>
      <c r="B58" s="930">
        <v>45</v>
      </c>
      <c r="C58" s="931">
        <f t="shared" si="1"/>
        <v>70299.131027901865</v>
      </c>
      <c r="D58" s="931">
        <f t="shared" si="5"/>
        <v>39316.559650971787</v>
      </c>
      <c r="E58" s="931">
        <f t="shared" si="0"/>
        <v>21591185.295088064</v>
      </c>
      <c r="F58" s="291"/>
      <c r="G58" s="293"/>
      <c r="H58" s="930">
        <v>44</v>
      </c>
      <c r="I58" s="930">
        <f t="shared" si="6"/>
        <v>79</v>
      </c>
      <c r="J58" s="931">
        <f t="shared" si="2"/>
        <v>185612.08199082516</v>
      </c>
      <c r="K58" s="931">
        <f t="shared" si="3"/>
        <v>41449.185268466739</v>
      </c>
      <c r="L58" s="933">
        <f t="shared" si="4"/>
        <v>37080967.212896563</v>
      </c>
    </row>
    <row r="59" spans="1:17">
      <c r="A59" s="910"/>
      <c r="B59" s="930">
        <v>46</v>
      </c>
      <c r="C59" s="931">
        <f t="shared" si="1"/>
        <v>70171.352209036209</v>
      </c>
      <c r="D59" s="931">
        <f t="shared" si="5"/>
        <v>39444.338469837443</v>
      </c>
      <c r="E59" s="931">
        <f t="shared" si="0"/>
        <v>21551740.956618227</v>
      </c>
      <c r="F59" s="291"/>
      <c r="G59" s="293"/>
      <c r="H59" s="930">
        <v>45</v>
      </c>
      <c r="I59" s="930">
        <f t="shared" si="6"/>
        <v>80</v>
      </c>
      <c r="J59" s="931">
        <f t="shared" si="2"/>
        <v>185404.83606448281</v>
      </c>
      <c r="K59" s="931">
        <f t="shared" si="3"/>
        <v>41656.431194809091</v>
      </c>
      <c r="L59" s="933">
        <f t="shared" si="4"/>
        <v>37039310.781701751</v>
      </c>
    </row>
    <row r="60" spans="1:17">
      <c r="A60" s="910"/>
      <c r="B60" s="930">
        <v>47</v>
      </c>
      <c r="C60" s="931">
        <f t="shared" si="1"/>
        <v>70043.158109009237</v>
      </c>
      <c r="D60" s="931">
        <f t="shared" si="5"/>
        <v>39572.532569864416</v>
      </c>
      <c r="E60" s="931">
        <f t="shared" si="0"/>
        <v>21512168.424048364</v>
      </c>
      <c r="F60" s="935"/>
      <c r="G60" s="293"/>
      <c r="H60" s="930">
        <v>46</v>
      </c>
      <c r="I60" s="930">
        <f t="shared" si="6"/>
        <v>81</v>
      </c>
      <c r="J60" s="931">
        <f t="shared" si="2"/>
        <v>185196.55390850874</v>
      </c>
      <c r="K60" s="931">
        <f t="shared" si="3"/>
        <v>41864.71335078316</v>
      </c>
      <c r="L60" s="933">
        <f t="shared" si="4"/>
        <v>36997446.068350971</v>
      </c>
      <c r="M60" s="291"/>
      <c r="N60" s="291"/>
      <c r="O60" s="291"/>
      <c r="P60" s="291"/>
      <c r="Q60" s="291"/>
    </row>
    <row r="61" spans="1:17">
      <c r="A61" s="929">
        <v>5</v>
      </c>
      <c r="B61" s="930">
        <v>48</v>
      </c>
      <c r="C61" s="931">
        <f t="shared" si="1"/>
        <v>69914.547378157193</v>
      </c>
      <c r="D61" s="931">
        <f t="shared" si="5"/>
        <v>39701.14330071646</v>
      </c>
      <c r="E61" s="931">
        <f t="shared" si="0"/>
        <v>21472467.280747648</v>
      </c>
      <c r="F61" s="291"/>
      <c r="G61" s="293"/>
      <c r="H61" s="930">
        <v>47</v>
      </c>
      <c r="I61" s="930">
        <f t="shared" si="6"/>
        <v>82</v>
      </c>
      <c r="J61" s="931">
        <f t="shared" si="2"/>
        <v>184987.23034175485</v>
      </c>
      <c r="K61" s="931">
        <f t="shared" si="3"/>
        <v>42074.036917537043</v>
      </c>
      <c r="L61" s="933">
        <f t="shared" si="4"/>
        <v>36955372.031433433</v>
      </c>
      <c r="M61" s="291"/>
      <c r="N61" s="291"/>
      <c r="O61" s="291"/>
      <c r="P61" s="291"/>
      <c r="Q61" s="291"/>
    </row>
    <row r="62" spans="1:17">
      <c r="A62" s="910"/>
      <c r="B62" s="930">
        <v>49</v>
      </c>
      <c r="C62" s="931">
        <f t="shared" si="1"/>
        <v>69785.518662429866</v>
      </c>
      <c r="D62" s="931">
        <f t="shared" si="5"/>
        <v>39830.172016443787</v>
      </c>
      <c r="E62" s="931">
        <f t="shared" si="0"/>
        <v>21432637.108731203</v>
      </c>
      <c r="F62" s="291"/>
      <c r="G62" s="293"/>
      <c r="H62" s="930">
        <v>48</v>
      </c>
      <c r="I62" s="930">
        <f t="shared" si="6"/>
        <v>83</v>
      </c>
      <c r="J62" s="931">
        <f t="shared" si="2"/>
        <v>184776.86015716716</v>
      </c>
      <c r="K62" s="931">
        <f t="shared" si="3"/>
        <v>42284.407102124736</v>
      </c>
      <c r="L62" s="933">
        <f t="shared" si="4"/>
        <v>36913087.62433131</v>
      </c>
      <c r="M62" s="291"/>
      <c r="N62" s="291"/>
      <c r="O62" s="291"/>
      <c r="P62" s="291"/>
      <c r="Q62" s="291"/>
    </row>
    <row r="63" spans="1:17">
      <c r="A63" s="910"/>
      <c r="B63" s="930">
        <v>50</v>
      </c>
      <c r="C63" s="931">
        <f t="shared" si="1"/>
        <v>69656.070603376415</v>
      </c>
      <c r="D63" s="931">
        <f t="shared" si="5"/>
        <v>39959.620075497238</v>
      </c>
      <c r="E63" s="931">
        <f t="shared" si="0"/>
        <v>21392677.488655705</v>
      </c>
      <c r="F63" s="291"/>
      <c r="G63" s="293"/>
      <c r="H63" s="930">
        <v>49</v>
      </c>
      <c r="I63" s="930">
        <f t="shared" si="6"/>
        <v>84</v>
      </c>
      <c r="J63" s="931">
        <f t="shared" si="2"/>
        <v>184565.43812165654</v>
      </c>
      <c r="K63" s="931">
        <f t="shared" si="3"/>
        <v>42495.829137635359</v>
      </c>
      <c r="L63" s="933">
        <f t="shared" si="4"/>
        <v>36870591.795193672</v>
      </c>
      <c r="M63" s="291"/>
      <c r="N63" s="291"/>
      <c r="O63" s="291"/>
      <c r="P63" s="291"/>
      <c r="Q63" s="291"/>
    </row>
    <row r="64" spans="1:17">
      <c r="A64" s="910"/>
      <c r="B64" s="930">
        <v>51</v>
      </c>
      <c r="C64" s="931">
        <f t="shared" si="1"/>
        <v>69526.201838131048</v>
      </c>
      <c r="D64" s="931">
        <f t="shared" si="5"/>
        <v>40089.488840742604</v>
      </c>
      <c r="E64" s="931">
        <f t="shared" si="0"/>
        <v>21352587.999814961</v>
      </c>
      <c r="F64" s="291"/>
      <c r="G64" s="293"/>
      <c r="H64" s="930">
        <v>50</v>
      </c>
      <c r="I64" s="930">
        <f t="shared" si="6"/>
        <v>85</v>
      </c>
      <c r="J64" s="931">
        <f t="shared" si="2"/>
        <v>184352.95897596833</v>
      </c>
      <c r="K64" s="931">
        <f t="shared" si="3"/>
        <v>42708.308283323568</v>
      </c>
      <c r="L64" s="933">
        <f t="shared" si="4"/>
        <v>36827883.486910351</v>
      </c>
      <c r="M64" s="291"/>
      <c r="N64" s="291"/>
      <c r="O64" s="291"/>
      <c r="P64" s="291"/>
      <c r="Q64" s="291"/>
    </row>
    <row r="65" spans="1:17">
      <c r="A65" s="910"/>
      <c r="B65" s="930">
        <v>52</v>
      </c>
      <c r="C65" s="931">
        <f t="shared" si="1"/>
        <v>69395.91099939862</v>
      </c>
      <c r="D65" s="931">
        <f t="shared" si="5"/>
        <v>40219.779679475032</v>
      </c>
      <c r="E65" s="931">
        <f t="shared" si="0"/>
        <v>21312368.220135488</v>
      </c>
      <c r="F65" s="291"/>
      <c r="G65" s="293"/>
      <c r="H65" s="930">
        <v>51</v>
      </c>
      <c r="I65" s="930">
        <f t="shared" si="6"/>
        <v>86</v>
      </c>
      <c r="J65" s="931">
        <f t="shared" si="2"/>
        <v>184139.41743455175</v>
      </c>
      <c r="K65" s="931">
        <f t="shared" si="3"/>
        <v>42921.849824740144</v>
      </c>
      <c r="L65" s="933">
        <f t="shared" si="4"/>
        <v>36784961.637085609</v>
      </c>
      <c r="M65" s="291"/>
      <c r="N65" s="291"/>
      <c r="O65" s="291"/>
      <c r="P65" s="291"/>
      <c r="Q65" s="291"/>
    </row>
    <row r="66" spans="1:17">
      <c r="A66" s="910"/>
      <c r="B66" s="930">
        <v>53</v>
      </c>
      <c r="C66" s="931">
        <f t="shared" si="1"/>
        <v>69265.196715440339</v>
      </c>
      <c r="D66" s="931">
        <f t="shared" si="5"/>
        <v>40350.493963433313</v>
      </c>
      <c r="E66" s="931">
        <f t="shared" si="0"/>
        <v>21272017.726172056</v>
      </c>
      <c r="F66" s="291"/>
      <c r="G66" s="293"/>
      <c r="H66" s="930">
        <v>52</v>
      </c>
      <c r="I66" s="930">
        <f t="shared" si="6"/>
        <v>87</v>
      </c>
      <c r="J66" s="931">
        <f t="shared" si="2"/>
        <v>183924.80818542803</v>
      </c>
      <c r="K66" s="931">
        <f t="shared" si="3"/>
        <v>43136.459073863865</v>
      </c>
      <c r="L66" s="933">
        <f t="shared" si="4"/>
        <v>36741825.178011745</v>
      </c>
      <c r="M66" s="291"/>
      <c r="N66" s="291"/>
      <c r="O66" s="291"/>
      <c r="P66" s="291"/>
      <c r="Q66" s="291"/>
    </row>
    <row r="67" spans="1:17">
      <c r="A67" s="910"/>
      <c r="B67" s="930">
        <v>54</v>
      </c>
      <c r="C67" s="931">
        <f t="shared" si="1"/>
        <v>69134.057610059186</v>
      </c>
      <c r="D67" s="931">
        <f t="shared" si="5"/>
        <v>40481.633068814466</v>
      </c>
      <c r="E67" s="931">
        <f t="shared" si="0"/>
        <v>21231536.093103241</v>
      </c>
      <c r="F67" s="291"/>
      <c r="G67" s="293"/>
      <c r="H67" s="930">
        <v>53</v>
      </c>
      <c r="I67" s="930">
        <f t="shared" si="6"/>
        <v>88</v>
      </c>
      <c r="J67" s="931">
        <f t="shared" si="2"/>
        <v>183709.12589005873</v>
      </c>
      <c r="K67" s="931">
        <f t="shared" si="3"/>
        <v>43352.14136923317</v>
      </c>
      <c r="L67" s="933">
        <f t="shared" si="4"/>
        <v>36698473.036642514</v>
      </c>
      <c r="M67" s="291"/>
      <c r="N67" s="291"/>
      <c r="O67" s="291"/>
      <c r="P67" s="291"/>
      <c r="Q67" s="291"/>
    </row>
    <row r="68" spans="1:17">
      <c r="A68" s="910"/>
      <c r="B68" s="930">
        <v>55</v>
      </c>
      <c r="C68" s="931">
        <f t="shared" si="1"/>
        <v>69002.492302585524</v>
      </c>
      <c r="D68" s="931">
        <f t="shared" si="5"/>
        <v>40613.198376288128</v>
      </c>
      <c r="E68" s="931">
        <f t="shared" si="0"/>
        <v>21190922.894726954</v>
      </c>
      <c r="F68" s="291"/>
      <c r="G68" s="293"/>
      <c r="H68" s="930">
        <v>54</v>
      </c>
      <c r="I68" s="930">
        <f t="shared" si="6"/>
        <v>89</v>
      </c>
      <c r="J68" s="931">
        <f t="shared" si="2"/>
        <v>183492.36518321256</v>
      </c>
      <c r="K68" s="931">
        <f t="shared" si="3"/>
        <v>43568.902076079336</v>
      </c>
      <c r="L68" s="933">
        <f t="shared" si="4"/>
        <v>36654904.134566434</v>
      </c>
      <c r="M68" s="291"/>
      <c r="N68" s="291"/>
      <c r="O68" s="291"/>
      <c r="P68" s="291"/>
      <c r="Q68" s="291"/>
    </row>
    <row r="69" spans="1:17">
      <c r="A69" s="910"/>
      <c r="B69" s="930">
        <v>56</v>
      </c>
      <c r="C69" s="931">
        <f t="shared" si="1"/>
        <v>68870.499407862604</v>
      </c>
      <c r="D69" s="931">
        <f t="shared" si="5"/>
        <v>40745.191271011048</v>
      </c>
      <c r="E69" s="931">
        <f t="shared" si="0"/>
        <v>21150177.703455944</v>
      </c>
      <c r="F69" s="291"/>
      <c r="G69" s="293"/>
      <c r="H69" s="930">
        <v>55</v>
      </c>
      <c r="I69" s="930">
        <f t="shared" si="6"/>
        <v>90</v>
      </c>
      <c r="J69" s="931">
        <f t="shared" si="2"/>
        <v>183274.52067283215</v>
      </c>
      <c r="K69" s="931">
        <f t="shared" si="3"/>
        <v>43786.746586459747</v>
      </c>
      <c r="L69" s="933">
        <f t="shared" si="4"/>
        <v>36611117.387979977</v>
      </c>
      <c r="M69" s="291"/>
      <c r="N69" s="291"/>
      <c r="O69" s="291"/>
      <c r="P69" s="291"/>
      <c r="Q69" s="291"/>
    </row>
    <row r="70" spans="1:17">
      <c r="A70" s="910"/>
      <c r="B70" s="930">
        <v>57</v>
      </c>
      <c r="C70" s="931">
        <f t="shared" si="1"/>
        <v>68738.077536231824</v>
      </c>
      <c r="D70" s="931">
        <f t="shared" si="5"/>
        <v>40877.613142641829</v>
      </c>
      <c r="E70" s="931">
        <f t="shared" si="0"/>
        <v>21109300.0903133</v>
      </c>
      <c r="F70" s="291"/>
      <c r="G70" s="293"/>
      <c r="H70" s="930">
        <v>56</v>
      </c>
      <c r="I70" s="930">
        <f t="shared" si="6"/>
        <v>91</v>
      </c>
      <c r="J70" s="931">
        <f t="shared" si="2"/>
        <v>183055.58693989986</v>
      </c>
      <c r="K70" s="931">
        <f t="shared" si="3"/>
        <v>44005.680319392035</v>
      </c>
      <c r="L70" s="933">
        <f t="shared" si="4"/>
        <v>36567111.707660586</v>
      </c>
      <c r="M70" s="291"/>
      <c r="N70" s="291"/>
      <c r="O70" s="291"/>
      <c r="P70" s="291"/>
      <c r="Q70" s="291"/>
    </row>
    <row r="71" spans="1:17">
      <c r="A71" s="910"/>
      <c r="B71" s="930">
        <v>58</v>
      </c>
      <c r="C71" s="931">
        <f t="shared" si="1"/>
        <v>68605.225293518233</v>
      </c>
      <c r="D71" s="931">
        <f t="shared" si="5"/>
        <v>41010.465385355419</v>
      </c>
      <c r="E71" s="931">
        <f t="shared" si="0"/>
        <v>21068289.624927945</v>
      </c>
      <c r="F71" s="291"/>
      <c r="G71" s="293"/>
      <c r="H71" s="930">
        <v>57</v>
      </c>
      <c r="I71" s="930">
        <f t="shared" si="6"/>
        <v>92</v>
      </c>
      <c r="J71" s="931">
        <f t="shared" si="2"/>
        <v>182835.55853830292</v>
      </c>
      <c r="K71" s="931">
        <f t="shared" si="3"/>
        <v>44225.708720988972</v>
      </c>
      <c r="L71" s="933">
        <f t="shared" si="4"/>
        <v>36522885.998939596</v>
      </c>
      <c r="M71" s="291"/>
      <c r="N71" s="291"/>
      <c r="O71" s="291"/>
      <c r="P71" s="291"/>
      <c r="Q71" s="291"/>
    </row>
    <row r="72" spans="1:17">
      <c r="A72" s="910"/>
      <c r="B72" s="930">
        <v>59</v>
      </c>
      <c r="C72" s="931">
        <f t="shared" si="1"/>
        <v>68471.941281015825</v>
      </c>
      <c r="D72" s="931">
        <f t="shared" si="5"/>
        <v>41143.749397857828</v>
      </c>
      <c r="E72" s="931">
        <f t="shared" si="0"/>
        <v>21027145.875530086</v>
      </c>
      <c r="F72" s="291"/>
      <c r="G72" s="293"/>
      <c r="H72" s="930">
        <v>58</v>
      </c>
      <c r="I72" s="930">
        <f t="shared" si="6"/>
        <v>93</v>
      </c>
      <c r="J72" s="931">
        <f t="shared" si="2"/>
        <v>182614.429994698</v>
      </c>
      <c r="K72" s="931">
        <f t="shared" si="3"/>
        <v>44446.837264593894</v>
      </c>
      <c r="L72" s="933">
        <f t="shared" si="4"/>
        <v>36478439.161674999</v>
      </c>
      <c r="M72" s="291"/>
      <c r="N72" s="291"/>
      <c r="O72" s="291"/>
      <c r="P72" s="291"/>
      <c r="Q72" s="291"/>
    </row>
    <row r="73" spans="1:17">
      <c r="A73" s="929">
        <v>6</v>
      </c>
      <c r="B73" s="930">
        <v>60</v>
      </c>
      <c r="C73" s="931">
        <f t="shared" si="1"/>
        <v>68338.224095472789</v>
      </c>
      <c r="D73" s="931">
        <f t="shared" si="5"/>
        <v>41277.466583400863</v>
      </c>
      <c r="E73" s="931">
        <f t="shared" si="0"/>
        <v>20985868.408946685</v>
      </c>
      <c r="F73" s="291"/>
      <c r="G73" s="293"/>
      <c r="H73" s="930">
        <v>59</v>
      </c>
      <c r="I73" s="930">
        <f t="shared" si="6"/>
        <v>94</v>
      </c>
      <c r="J73" s="931">
        <f t="shared" si="2"/>
        <v>182392.19580837499</v>
      </c>
      <c r="K73" s="931">
        <f t="shared" si="3"/>
        <v>44669.071450916905</v>
      </c>
      <c r="L73" s="933">
        <f t="shared" si="4"/>
        <v>36433770.09022408</v>
      </c>
      <c r="M73" s="291"/>
      <c r="N73" s="291"/>
      <c r="O73" s="291"/>
      <c r="P73" s="291"/>
      <c r="Q73" s="291"/>
    </row>
    <row r="74" spans="1:17">
      <c r="A74" s="910"/>
      <c r="B74" s="930">
        <v>61</v>
      </c>
      <c r="C74" s="931">
        <f t="shared" si="1"/>
        <v>68204.07232907672</v>
      </c>
      <c r="D74" s="931">
        <f t="shared" si="5"/>
        <v>41411.618349796932</v>
      </c>
      <c r="E74" s="931">
        <f t="shared" si="0"/>
        <v>20944456.790596887</v>
      </c>
      <c r="F74" s="291"/>
      <c r="G74" s="293"/>
      <c r="H74" s="930">
        <v>60</v>
      </c>
      <c r="I74" s="930">
        <f t="shared" si="6"/>
        <v>95</v>
      </c>
      <c r="J74" s="931">
        <f t="shared" si="2"/>
        <v>182168.85045112041</v>
      </c>
      <c r="K74" s="931">
        <f t="shared" si="3"/>
        <v>44892.416808171489</v>
      </c>
      <c r="L74" s="933">
        <f t="shared" si="4"/>
        <v>36388877.673415907</v>
      </c>
      <c r="M74" s="291"/>
      <c r="N74" s="291"/>
      <c r="O74" s="291"/>
      <c r="P74" s="291"/>
      <c r="Q74" s="291"/>
    </row>
    <row r="75" spans="1:17">
      <c r="A75" s="910"/>
      <c r="B75" s="930">
        <v>62</v>
      </c>
      <c r="C75" s="931">
        <f t="shared" si="1"/>
        <v>68069.484569439883</v>
      </c>
      <c r="D75" s="931">
        <f t="shared" si="5"/>
        <v>41546.20610943377</v>
      </c>
      <c r="E75" s="931">
        <f t="shared" si="0"/>
        <v>20902910.584487453</v>
      </c>
      <c r="F75" s="291"/>
      <c r="G75" s="293"/>
      <c r="H75" s="930">
        <v>61</v>
      </c>
      <c r="I75" s="930">
        <f t="shared" si="6"/>
        <v>96</v>
      </c>
      <c r="J75" s="931">
        <f t="shared" si="2"/>
        <v>181944.38836707952</v>
      </c>
      <c r="K75" s="931">
        <f t="shared" si="3"/>
        <v>45116.878892212379</v>
      </c>
      <c r="L75" s="933">
        <f t="shared" si="4"/>
        <v>36343760.794523694</v>
      </c>
      <c r="M75" s="291"/>
      <c r="N75" s="291"/>
      <c r="O75" s="291"/>
      <c r="P75" s="291"/>
      <c r="Q75" s="291"/>
    </row>
    <row r="76" spans="1:17">
      <c r="A76" s="910"/>
      <c r="B76" s="930">
        <v>63</v>
      </c>
      <c r="C76" s="931">
        <f t="shared" si="1"/>
        <v>67934.45939958423</v>
      </c>
      <c r="D76" s="931">
        <f t="shared" si="5"/>
        <v>41681.231279289423</v>
      </c>
      <c r="E76" s="931">
        <f t="shared" si="0"/>
        <v>20861229.353208162</v>
      </c>
      <c r="F76" s="291"/>
      <c r="G76" s="293"/>
      <c r="H76" s="930">
        <v>62</v>
      </c>
      <c r="I76" s="930">
        <f t="shared" si="6"/>
        <v>97</v>
      </c>
      <c r="J76" s="931">
        <f t="shared" si="2"/>
        <v>181718.80397261845</v>
      </c>
      <c r="K76" s="931">
        <f t="shared" si="3"/>
        <v>45342.463286673446</v>
      </c>
      <c r="L76" s="933">
        <f t="shared" si="4"/>
        <v>36298418.331237018</v>
      </c>
      <c r="M76" s="291"/>
      <c r="N76" s="291"/>
      <c r="O76" s="291"/>
      <c r="P76" s="291"/>
      <c r="Q76" s="291"/>
    </row>
    <row r="77" spans="1:17">
      <c r="A77" s="910"/>
      <c r="B77" s="930">
        <v>64</v>
      </c>
      <c r="C77" s="931">
        <f t="shared" si="1"/>
        <v>67798.995397926526</v>
      </c>
      <c r="D77" s="931">
        <f t="shared" si="5"/>
        <v>41816.695280947126</v>
      </c>
      <c r="E77" s="931">
        <f t="shared" si="0"/>
        <v>20819412.657927215</v>
      </c>
      <c r="F77" s="291"/>
      <c r="G77" s="293"/>
      <c r="H77" s="930">
        <v>63</v>
      </c>
      <c r="I77" s="930">
        <f t="shared" si="6"/>
        <v>98</v>
      </c>
      <c r="J77" s="931">
        <f t="shared" si="2"/>
        <v>181492.09165618508</v>
      </c>
      <c r="K77" s="931">
        <f t="shared" si="3"/>
        <v>45569.175603106822</v>
      </c>
      <c r="L77" s="933">
        <f t="shared" si="4"/>
        <v>36252849.155633911</v>
      </c>
      <c r="M77" s="291"/>
      <c r="N77" s="291"/>
      <c r="O77" s="291"/>
      <c r="P77" s="291"/>
      <c r="Q77" s="291"/>
    </row>
    <row r="78" spans="1:17">
      <c r="A78" s="910"/>
      <c r="B78" s="930">
        <v>65</v>
      </c>
      <c r="C78" s="931">
        <f t="shared" si="1"/>
        <v>67663.091138263451</v>
      </c>
      <c r="D78" s="931">
        <f t="shared" ref="D78:D141" si="7">IF($C$10&gt;B78,0,IF(C78&lt;0.01,0,$C$8-C78))</f>
        <v>41952.599540610201</v>
      </c>
      <c r="E78" s="931">
        <f t="shared" si="0"/>
        <v>20777460.058386605</v>
      </c>
      <c r="F78" s="291"/>
      <c r="G78" s="293"/>
      <c r="H78" s="930">
        <v>64</v>
      </c>
      <c r="I78" s="930">
        <f t="shared" si="6"/>
        <v>99</v>
      </c>
      <c r="J78" s="931">
        <f t="shared" si="2"/>
        <v>181264.24577816957</v>
      </c>
      <c r="K78" s="931">
        <f t="shared" si="3"/>
        <v>45797.021481122327</v>
      </c>
      <c r="L78" s="933">
        <f t="shared" si="4"/>
        <v>36207052.134152792</v>
      </c>
      <c r="M78" s="291"/>
      <c r="N78" s="291"/>
      <c r="O78" s="291"/>
      <c r="P78" s="291"/>
      <c r="Q78" s="291"/>
    </row>
    <row r="79" spans="1:17">
      <c r="A79" s="910"/>
      <c r="B79" s="930">
        <v>66</v>
      </c>
      <c r="C79" s="931">
        <f t="shared" ref="C79:C142" si="8">IF(E78&lt;0.01,0,E78*$C$5/12)</f>
        <v>67526.745189756461</v>
      </c>
      <c r="D79" s="931">
        <f t="shared" si="7"/>
        <v>42088.945489117192</v>
      </c>
      <c r="E79" s="931">
        <f t="shared" ref="E79:E142" si="9">IF(E78&lt;0.01,0,E78-D79)</f>
        <v>20735371.112897489</v>
      </c>
      <c r="F79" s="291"/>
      <c r="G79" s="293"/>
      <c r="H79" s="930">
        <v>65</v>
      </c>
      <c r="I79" s="930">
        <f t="shared" si="6"/>
        <v>100</v>
      </c>
      <c r="J79" s="931">
        <f t="shared" si="2"/>
        <v>181035.26067076394</v>
      </c>
      <c r="K79" s="931">
        <f t="shared" ref="K79:K142" si="10">IF($I$10&gt;H79,0,IF(J79&lt;0.01,0,$I$8-J79))</f>
        <v>46026.006588527962</v>
      </c>
      <c r="L79" s="933">
        <f t="shared" si="4"/>
        <v>36161026.127564266</v>
      </c>
      <c r="M79" s="291"/>
      <c r="N79" s="291"/>
      <c r="O79" s="291"/>
      <c r="P79" s="291"/>
      <c r="Q79" s="291"/>
    </row>
    <row r="80" spans="1:17">
      <c r="A80" s="910"/>
      <c r="B80" s="930">
        <v>67</v>
      </c>
      <c r="C80" s="931">
        <f t="shared" si="8"/>
        <v>67389.956116916845</v>
      </c>
      <c r="D80" s="931">
        <f t="shared" si="7"/>
        <v>42225.734561956808</v>
      </c>
      <c r="E80" s="931">
        <f t="shared" si="9"/>
        <v>20693145.378335532</v>
      </c>
      <c r="F80" s="291"/>
      <c r="G80" s="293"/>
      <c r="H80" s="930">
        <v>66</v>
      </c>
      <c r="I80" s="930">
        <f t="shared" si="6"/>
        <v>101</v>
      </c>
      <c r="J80" s="931">
        <f t="shared" ref="J80:J143" si="11">IF(L79&lt;0.01,0,L79*$I$5/12)</f>
        <v>180805.1306378213</v>
      </c>
      <c r="K80" s="931">
        <f t="shared" si="10"/>
        <v>46256.136621470592</v>
      </c>
      <c r="L80" s="933">
        <f t="shared" ref="L80:L143" si="12">IF(L79&lt;0.01,0,L79-K80)</f>
        <v>36114769.990942799</v>
      </c>
      <c r="M80" s="291"/>
      <c r="N80" s="291"/>
      <c r="O80" s="291"/>
      <c r="P80" s="291"/>
      <c r="Q80" s="291"/>
    </row>
    <row r="81" spans="1:17">
      <c r="A81" s="910"/>
      <c r="B81" s="930">
        <v>68</v>
      </c>
      <c r="C81" s="931">
        <f t="shared" si="8"/>
        <v>67252.722479590477</v>
      </c>
      <c r="D81" s="931">
        <f t="shared" si="7"/>
        <v>42362.968199283176</v>
      </c>
      <c r="E81" s="931">
        <f t="shared" si="9"/>
        <v>20650782.410136249</v>
      </c>
      <c r="F81" s="291"/>
      <c r="G81" s="293"/>
      <c r="H81" s="930">
        <v>67</v>
      </c>
      <c r="I81" s="930">
        <f t="shared" ref="I81:I144" si="13">I80+1</f>
        <v>102</v>
      </c>
      <c r="J81" s="931">
        <f t="shared" si="11"/>
        <v>180573.84995471398</v>
      </c>
      <c r="K81" s="931">
        <f t="shared" si="10"/>
        <v>46487.417304577917</v>
      </c>
      <c r="L81" s="933">
        <f t="shared" si="12"/>
        <v>36068282.573638223</v>
      </c>
      <c r="M81" s="291"/>
      <c r="N81" s="291"/>
      <c r="O81" s="291"/>
      <c r="P81" s="291"/>
      <c r="Q81" s="291"/>
    </row>
    <row r="82" spans="1:17">
      <c r="A82" s="910"/>
      <c r="B82" s="930">
        <v>69</v>
      </c>
      <c r="C82" s="931">
        <f t="shared" si="8"/>
        <v>67115.04283294281</v>
      </c>
      <c r="D82" s="931">
        <f t="shared" si="7"/>
        <v>42500.647845930842</v>
      </c>
      <c r="E82" s="931">
        <f t="shared" si="9"/>
        <v>20608281.762290318</v>
      </c>
      <c r="F82" s="291"/>
      <c r="G82" s="293"/>
      <c r="H82" s="930">
        <v>68</v>
      </c>
      <c r="I82" s="930">
        <f t="shared" si="13"/>
        <v>103</v>
      </c>
      <c r="J82" s="931">
        <f t="shared" si="11"/>
        <v>180341.41286819111</v>
      </c>
      <c r="K82" s="931">
        <f t="shared" si="10"/>
        <v>46719.854391100787</v>
      </c>
      <c r="L82" s="933">
        <f t="shared" si="12"/>
        <v>36021562.719247125</v>
      </c>
      <c r="M82" s="291"/>
      <c r="N82" s="291"/>
      <c r="O82" s="291"/>
      <c r="P82" s="291"/>
      <c r="Q82" s="291"/>
    </row>
    <row r="83" spans="1:17">
      <c r="A83" s="910"/>
      <c r="B83" s="930">
        <v>70</v>
      </c>
      <c r="C83" s="931">
        <f t="shared" si="8"/>
        <v>66976.915727443527</v>
      </c>
      <c r="D83" s="931">
        <f t="shared" si="7"/>
        <v>42638.774951430125</v>
      </c>
      <c r="E83" s="931">
        <f t="shared" si="9"/>
        <v>20565642.987338886</v>
      </c>
      <c r="F83" s="291"/>
      <c r="G83" s="293"/>
      <c r="H83" s="930">
        <v>69</v>
      </c>
      <c r="I83" s="930">
        <f t="shared" si="13"/>
        <v>104</v>
      </c>
      <c r="J83" s="931">
        <f t="shared" si="11"/>
        <v>180107.81359623562</v>
      </c>
      <c r="K83" s="931">
        <f t="shared" si="10"/>
        <v>46953.45366305628</v>
      </c>
      <c r="L83" s="933">
        <f t="shared" si="12"/>
        <v>35974609.265584067</v>
      </c>
      <c r="M83" s="291"/>
      <c r="N83" s="291"/>
      <c r="O83" s="291"/>
      <c r="P83" s="291"/>
      <c r="Q83" s="291"/>
    </row>
    <row r="84" spans="1:17">
      <c r="A84" s="910"/>
      <c r="B84" s="930">
        <v>71</v>
      </c>
      <c r="C84" s="931">
        <f t="shared" si="8"/>
        <v>66838.339708851374</v>
      </c>
      <c r="D84" s="931">
        <f t="shared" si="7"/>
        <v>42777.350970022278</v>
      </c>
      <c r="E84" s="931">
        <f t="shared" si="9"/>
        <v>20522865.636368863</v>
      </c>
      <c r="F84" s="935"/>
      <c r="G84" s="293"/>
      <c r="H84" s="930">
        <v>70</v>
      </c>
      <c r="I84" s="930">
        <f t="shared" si="13"/>
        <v>105</v>
      </c>
      <c r="J84" s="931">
        <f t="shared" si="11"/>
        <v>179873.04632792031</v>
      </c>
      <c r="K84" s="931">
        <f t="shared" si="10"/>
        <v>47188.220931371587</v>
      </c>
      <c r="L84" s="933">
        <f t="shared" si="12"/>
        <v>35927421.044652693</v>
      </c>
      <c r="M84" s="291"/>
      <c r="N84" s="291"/>
      <c r="O84" s="291"/>
      <c r="P84" s="291"/>
      <c r="Q84" s="291"/>
    </row>
    <row r="85" spans="1:17">
      <c r="A85" s="929">
        <v>7</v>
      </c>
      <c r="B85" s="930">
        <v>72</v>
      </c>
      <c r="C85" s="931">
        <f t="shared" si="8"/>
        <v>66699.313318198809</v>
      </c>
      <c r="D85" s="931">
        <f t="shared" si="7"/>
        <v>42916.377360674844</v>
      </c>
      <c r="E85" s="931">
        <f t="shared" si="9"/>
        <v>20479949.259008188</v>
      </c>
      <c r="F85" s="291"/>
      <c r="G85" s="293"/>
      <c r="H85" s="930">
        <v>71</v>
      </c>
      <c r="I85" s="930">
        <f t="shared" si="13"/>
        <v>106</v>
      </c>
      <c r="J85" s="931">
        <f t="shared" si="11"/>
        <v>179637.10522326347</v>
      </c>
      <c r="K85" s="931">
        <f t="shared" si="10"/>
        <v>47424.162036028429</v>
      </c>
      <c r="L85" s="933">
        <f t="shared" si="12"/>
        <v>35879996.882616661</v>
      </c>
      <c r="M85" s="291"/>
      <c r="N85" s="291"/>
      <c r="O85" s="291"/>
      <c r="P85" s="291"/>
      <c r="Q85" s="291"/>
    </row>
    <row r="86" spans="1:17">
      <c r="A86" s="910"/>
      <c r="B86" s="930">
        <v>73</v>
      </c>
      <c r="C86" s="931">
        <f t="shared" si="8"/>
        <v>66559.835091776607</v>
      </c>
      <c r="D86" s="931">
        <f t="shared" si="7"/>
        <v>43055.855587097045</v>
      </c>
      <c r="E86" s="931">
        <f t="shared" si="9"/>
        <v>20436893.403421089</v>
      </c>
      <c r="F86" s="291"/>
      <c r="G86" s="293"/>
      <c r="H86" s="930">
        <v>72</v>
      </c>
      <c r="I86" s="930">
        <f t="shared" si="13"/>
        <v>107</v>
      </c>
      <c r="J86" s="931">
        <f t="shared" si="11"/>
        <v>179399.98441308329</v>
      </c>
      <c r="K86" s="931">
        <f t="shared" si="10"/>
        <v>47661.282846208604</v>
      </c>
      <c r="L86" s="933">
        <f t="shared" si="12"/>
        <v>35832335.599770457</v>
      </c>
      <c r="M86" s="291"/>
      <c r="N86" s="291"/>
      <c r="O86" s="291"/>
      <c r="P86" s="291"/>
      <c r="Q86" s="291"/>
    </row>
    <row r="87" spans="1:17">
      <c r="A87" s="910"/>
      <c r="B87" s="930">
        <v>74</v>
      </c>
      <c r="C87" s="931">
        <f t="shared" si="8"/>
        <v>66419.903561118539</v>
      </c>
      <c r="D87" s="931">
        <f t="shared" si="7"/>
        <v>43195.787117755113</v>
      </c>
      <c r="E87" s="931">
        <f t="shared" si="9"/>
        <v>20393697.616303332</v>
      </c>
      <c r="F87" s="291"/>
      <c r="G87" s="293"/>
      <c r="H87" s="930">
        <v>73</v>
      </c>
      <c r="I87" s="930">
        <f t="shared" si="13"/>
        <v>108</v>
      </c>
      <c r="J87" s="931">
        <f t="shared" si="11"/>
        <v>179161.6779988523</v>
      </c>
      <c r="K87" s="931">
        <f t="shared" si="10"/>
        <v>47899.589260439592</v>
      </c>
      <c r="L87" s="933">
        <f t="shared" si="12"/>
        <v>35784436.01051002</v>
      </c>
      <c r="M87" s="291"/>
      <c r="N87" s="291"/>
      <c r="O87" s="291"/>
      <c r="P87" s="291"/>
      <c r="Q87" s="291"/>
    </row>
    <row r="88" spans="1:17">
      <c r="A88" s="910"/>
      <c r="B88" s="930">
        <v>75</v>
      </c>
      <c r="C88" s="931">
        <f t="shared" si="8"/>
        <v>66279.517252985825</v>
      </c>
      <c r="D88" s="931">
        <f t="shared" si="7"/>
        <v>43336.173425887828</v>
      </c>
      <c r="E88" s="931">
        <f t="shared" si="9"/>
        <v>20350361.442877445</v>
      </c>
      <c r="F88" s="291"/>
      <c r="G88" s="293"/>
      <c r="H88" s="930">
        <v>74</v>
      </c>
      <c r="I88" s="930">
        <f t="shared" si="13"/>
        <v>109</v>
      </c>
      <c r="J88" s="931">
        <f t="shared" si="11"/>
        <v>178922.18005255007</v>
      </c>
      <c r="K88" s="931">
        <f t="shared" si="10"/>
        <v>48139.087206741824</v>
      </c>
      <c r="L88" s="933">
        <f t="shared" si="12"/>
        <v>35736296.923303276</v>
      </c>
      <c r="M88" s="291"/>
      <c r="N88" s="291"/>
      <c r="O88" s="291"/>
      <c r="P88" s="291"/>
      <c r="Q88" s="291"/>
    </row>
    <row r="89" spans="1:17">
      <c r="A89" s="910"/>
      <c r="B89" s="930">
        <v>76</v>
      </c>
      <c r="C89" s="931">
        <f t="shared" si="8"/>
        <v>66138.674689351697</v>
      </c>
      <c r="D89" s="931">
        <f t="shared" si="7"/>
        <v>43477.015989521955</v>
      </c>
      <c r="E89" s="931">
        <f t="shared" si="9"/>
        <v>20306884.426887922</v>
      </c>
      <c r="F89" s="291"/>
      <c r="G89" s="293"/>
      <c r="H89" s="930">
        <v>75</v>
      </c>
      <c r="I89" s="930">
        <f t="shared" si="13"/>
        <v>110</v>
      </c>
      <c r="J89" s="931">
        <f t="shared" si="11"/>
        <v>178681.48461651639</v>
      </c>
      <c r="K89" s="931">
        <f t="shared" si="10"/>
        <v>48379.782642775506</v>
      </c>
      <c r="L89" s="933">
        <f t="shared" si="12"/>
        <v>35687917.140660502</v>
      </c>
      <c r="M89" s="291"/>
      <c r="N89" s="291"/>
      <c r="O89" s="291"/>
      <c r="P89" s="291"/>
      <c r="Q89" s="291"/>
    </row>
    <row r="90" spans="1:17">
      <c r="A90" s="910"/>
      <c r="B90" s="930">
        <v>77</v>
      </c>
      <c r="C90" s="931">
        <f t="shared" si="8"/>
        <v>65997.374387385746</v>
      </c>
      <c r="D90" s="931">
        <f t="shared" si="7"/>
        <v>43618.316291487907</v>
      </c>
      <c r="E90" s="931">
        <f t="shared" si="9"/>
        <v>20263266.110596433</v>
      </c>
      <c r="F90" s="291"/>
      <c r="G90" s="293"/>
      <c r="H90" s="930">
        <v>76</v>
      </c>
      <c r="I90" s="930">
        <f t="shared" si="13"/>
        <v>111</v>
      </c>
      <c r="J90" s="931">
        <f t="shared" si="11"/>
        <v>178439.58570330249</v>
      </c>
      <c r="K90" s="931">
        <f t="shared" si="10"/>
        <v>48621.681555989402</v>
      </c>
      <c r="L90" s="933">
        <f t="shared" si="12"/>
        <v>35639295.459104516</v>
      </c>
      <c r="M90" s="291"/>
      <c r="N90" s="291"/>
      <c r="O90" s="291"/>
      <c r="P90" s="291"/>
      <c r="Q90" s="291"/>
    </row>
    <row r="91" spans="1:17">
      <c r="A91" s="910"/>
      <c r="B91" s="930">
        <v>78</v>
      </c>
      <c r="C91" s="931">
        <f t="shared" si="8"/>
        <v>65855.614859438399</v>
      </c>
      <c r="D91" s="931">
        <f t="shared" si="7"/>
        <v>43760.075819435253</v>
      </c>
      <c r="E91" s="931">
        <f t="shared" si="9"/>
        <v>20219506.034776997</v>
      </c>
      <c r="F91" s="291"/>
      <c r="G91" s="293"/>
      <c r="H91" s="930">
        <v>77</v>
      </c>
      <c r="I91" s="930">
        <f t="shared" si="13"/>
        <v>112</v>
      </c>
      <c r="J91" s="931">
        <f t="shared" si="11"/>
        <v>178196.47729552258</v>
      </c>
      <c r="K91" s="931">
        <f t="shared" si="10"/>
        <v>48864.789963769319</v>
      </c>
      <c r="L91" s="933">
        <f t="shared" si="12"/>
        <v>35590430.669140749</v>
      </c>
      <c r="M91" s="291"/>
      <c r="N91" s="291"/>
      <c r="O91" s="291"/>
      <c r="P91" s="291"/>
      <c r="Q91" s="291"/>
    </row>
    <row r="92" spans="1:17">
      <c r="A92" s="910"/>
      <c r="B92" s="930">
        <v>79</v>
      </c>
      <c r="C92" s="931">
        <f t="shared" si="8"/>
        <v>65713.394613025244</v>
      </c>
      <c r="D92" s="931">
        <f t="shared" si="7"/>
        <v>43902.296065848408</v>
      </c>
      <c r="E92" s="931">
        <f t="shared" si="9"/>
        <v>20175603.738711149</v>
      </c>
      <c r="F92" s="291"/>
      <c r="G92" s="293"/>
      <c r="H92" s="930">
        <v>78</v>
      </c>
      <c r="I92" s="930">
        <f t="shared" si="13"/>
        <v>113</v>
      </c>
      <c r="J92" s="931">
        <f t="shared" si="11"/>
        <v>177952.15334570373</v>
      </c>
      <c r="K92" s="931">
        <f t="shared" si="10"/>
        <v>49109.113913588168</v>
      </c>
      <c r="L92" s="933">
        <f t="shared" si="12"/>
        <v>35541321.55522716</v>
      </c>
      <c r="M92" s="291"/>
      <c r="N92" s="291"/>
      <c r="O92" s="291"/>
      <c r="P92" s="291"/>
      <c r="Q92" s="291"/>
    </row>
    <row r="93" spans="1:17">
      <c r="A93" s="910"/>
      <c r="B93" s="930">
        <v>80</v>
      </c>
      <c r="C93" s="931">
        <f t="shared" si="8"/>
        <v>65570.712150811232</v>
      </c>
      <c r="D93" s="931">
        <f t="shared" si="7"/>
        <v>44044.97852806242</v>
      </c>
      <c r="E93" s="931">
        <f t="shared" si="9"/>
        <v>20131558.760183085</v>
      </c>
      <c r="F93" s="291"/>
      <c r="G93" s="293"/>
      <c r="H93" s="930">
        <v>79</v>
      </c>
      <c r="I93" s="930">
        <f t="shared" si="13"/>
        <v>114</v>
      </c>
      <c r="J93" s="931">
        <f t="shared" si="11"/>
        <v>177706.60777613579</v>
      </c>
      <c r="K93" s="931">
        <f t="shared" si="10"/>
        <v>49354.659483156109</v>
      </c>
      <c r="L93" s="933">
        <f t="shared" si="12"/>
        <v>35491966.895744003</v>
      </c>
      <c r="M93" s="291"/>
      <c r="N93" s="291"/>
      <c r="O93" s="291"/>
      <c r="P93" s="291"/>
      <c r="Q93" s="291"/>
    </row>
    <row r="94" spans="1:17">
      <c r="A94" s="910"/>
      <c r="B94" s="930">
        <v>81</v>
      </c>
      <c r="C94" s="931">
        <f t="shared" si="8"/>
        <v>65427.565970595024</v>
      </c>
      <c r="D94" s="931">
        <f t="shared" si="7"/>
        <v>44188.124708278629</v>
      </c>
      <c r="E94" s="931">
        <f t="shared" si="9"/>
        <v>20087370.635474805</v>
      </c>
      <c r="F94" s="291"/>
      <c r="G94" s="293"/>
      <c r="H94" s="930">
        <v>80</v>
      </c>
      <c r="I94" s="930">
        <f t="shared" si="13"/>
        <v>115</v>
      </c>
      <c r="J94" s="931">
        <f t="shared" si="11"/>
        <v>177459.83447872</v>
      </c>
      <c r="K94" s="931">
        <f t="shared" si="10"/>
        <v>49601.432780571893</v>
      </c>
      <c r="L94" s="933">
        <f t="shared" si="12"/>
        <v>35442365.462963432</v>
      </c>
      <c r="M94" s="291"/>
      <c r="N94" s="291"/>
      <c r="O94" s="291"/>
      <c r="P94" s="291"/>
      <c r="Q94" s="291"/>
    </row>
    <row r="95" spans="1:17">
      <c r="A95" s="910"/>
      <c r="B95" s="930">
        <v>82</v>
      </c>
      <c r="C95" s="931">
        <f t="shared" si="8"/>
        <v>65283.954565293119</v>
      </c>
      <c r="D95" s="931">
        <f t="shared" si="7"/>
        <v>44331.736113580533</v>
      </c>
      <c r="E95" s="931">
        <f t="shared" si="9"/>
        <v>20043038.899361223</v>
      </c>
      <c r="F95" s="291"/>
      <c r="G95" s="293"/>
      <c r="H95" s="930">
        <v>81</v>
      </c>
      <c r="I95" s="930">
        <f t="shared" si="13"/>
        <v>116</v>
      </c>
      <c r="J95" s="931">
        <f t="shared" si="11"/>
        <v>177211.82731481714</v>
      </c>
      <c r="K95" s="931">
        <f t="shared" si="10"/>
        <v>49849.439944474754</v>
      </c>
      <c r="L95" s="933">
        <f t="shared" si="12"/>
        <v>35392516.023018956</v>
      </c>
      <c r="M95" s="291"/>
      <c r="N95" s="291"/>
      <c r="O95" s="291"/>
      <c r="P95" s="291"/>
      <c r="Q95" s="291"/>
    </row>
    <row r="96" spans="1:17">
      <c r="A96" s="910"/>
      <c r="B96" s="930">
        <v>83</v>
      </c>
      <c r="C96" s="931">
        <f t="shared" si="8"/>
        <v>65139.876422923968</v>
      </c>
      <c r="D96" s="931">
        <f t="shared" si="7"/>
        <v>44475.814255949685</v>
      </c>
      <c r="E96" s="931">
        <f t="shared" si="9"/>
        <v>19998563.085105274</v>
      </c>
      <c r="F96" s="291"/>
      <c r="G96" s="293"/>
      <c r="H96" s="930">
        <v>82</v>
      </c>
      <c r="I96" s="930">
        <f t="shared" si="13"/>
        <v>117</v>
      </c>
      <c r="J96" s="931">
        <f t="shared" si="11"/>
        <v>176962.58011509478</v>
      </c>
      <c r="K96" s="931">
        <f t="shared" si="10"/>
        <v>50098.687144197116</v>
      </c>
      <c r="L96" s="933">
        <f t="shared" si="12"/>
        <v>35342417.335874759</v>
      </c>
      <c r="M96" s="291"/>
      <c r="N96" s="291"/>
      <c r="O96" s="291"/>
      <c r="P96" s="291"/>
      <c r="Q96" s="291"/>
    </row>
    <row r="97" spans="1:17">
      <c r="A97" s="929">
        <v>8</v>
      </c>
      <c r="B97" s="930">
        <v>84</v>
      </c>
      <c r="C97" s="931">
        <f t="shared" si="8"/>
        <v>64995.330026592135</v>
      </c>
      <c r="D97" s="931">
        <f t="shared" si="7"/>
        <v>44620.360652281517</v>
      </c>
      <c r="E97" s="931">
        <f t="shared" si="9"/>
        <v>19953942.724452991</v>
      </c>
      <c r="F97" s="291"/>
      <c r="G97" s="293"/>
      <c r="H97" s="930">
        <v>83</v>
      </c>
      <c r="I97" s="930">
        <f t="shared" si="13"/>
        <v>118</v>
      </c>
      <c r="J97" s="931">
        <f t="shared" si="11"/>
        <v>176712.08667937378</v>
      </c>
      <c r="K97" s="931">
        <f t="shared" si="10"/>
        <v>50349.180579918117</v>
      </c>
      <c r="L97" s="933">
        <f t="shared" si="12"/>
        <v>35292068.155294843</v>
      </c>
      <c r="M97" s="291"/>
      <c r="N97" s="291"/>
      <c r="O97" s="291"/>
      <c r="P97" s="291"/>
      <c r="Q97" s="291"/>
    </row>
    <row r="98" spans="1:17">
      <c r="A98" s="910"/>
      <c r="B98" s="930">
        <v>85</v>
      </c>
      <c r="C98" s="931">
        <f t="shared" si="8"/>
        <v>64850.313854472217</v>
      </c>
      <c r="D98" s="931">
        <f t="shared" si="7"/>
        <v>44765.376824401435</v>
      </c>
      <c r="E98" s="931">
        <f t="shared" si="9"/>
        <v>19909177.34762859</v>
      </c>
      <c r="F98" s="291"/>
      <c r="G98" s="293"/>
      <c r="H98" s="930">
        <v>84</v>
      </c>
      <c r="I98" s="930">
        <f t="shared" si="13"/>
        <v>119</v>
      </c>
      <c r="J98" s="931">
        <f t="shared" si="11"/>
        <v>176460.34077647422</v>
      </c>
      <c r="K98" s="931">
        <f t="shared" si="10"/>
        <v>50600.926482817682</v>
      </c>
      <c r="L98" s="933">
        <f t="shared" si="12"/>
        <v>35241467.228812024</v>
      </c>
      <c r="M98" s="291"/>
      <c r="N98" s="291"/>
      <c r="O98" s="291"/>
      <c r="P98" s="291"/>
      <c r="Q98" s="291"/>
    </row>
    <row r="99" spans="1:17">
      <c r="A99" s="910"/>
      <c r="B99" s="930">
        <v>86</v>
      </c>
      <c r="C99" s="931">
        <f t="shared" si="8"/>
        <v>64704.826379792918</v>
      </c>
      <c r="D99" s="931">
        <f t="shared" si="7"/>
        <v>44910.864299080735</v>
      </c>
      <c r="E99" s="931">
        <f t="shared" si="9"/>
        <v>19864266.483329508</v>
      </c>
      <c r="F99" s="291"/>
      <c r="G99" s="293"/>
      <c r="H99" s="930">
        <v>85</v>
      </c>
      <c r="I99" s="930">
        <f t="shared" si="13"/>
        <v>120</v>
      </c>
      <c r="J99" s="931">
        <f t="shared" si="11"/>
        <v>176207.33614406013</v>
      </c>
      <c r="K99" s="931">
        <f t="shared" si="10"/>
        <v>50853.931115231768</v>
      </c>
      <c r="L99" s="933">
        <f t="shared" si="12"/>
        <v>35190613.297696792</v>
      </c>
      <c r="M99" s="291"/>
      <c r="N99" s="291"/>
      <c r="O99" s="291"/>
      <c r="P99" s="291"/>
      <c r="Q99" s="291"/>
    </row>
    <row r="100" spans="1:17">
      <c r="A100" s="910"/>
      <c r="B100" s="930">
        <v>87</v>
      </c>
      <c r="C100" s="931">
        <f t="shared" si="8"/>
        <v>64558.866070820899</v>
      </c>
      <c r="D100" s="931">
        <f t="shared" si="7"/>
        <v>45056.824608052753</v>
      </c>
      <c r="E100" s="931">
        <f t="shared" si="9"/>
        <v>19819209.658721454</v>
      </c>
      <c r="F100" s="291"/>
      <c r="G100" s="293"/>
      <c r="H100" s="930">
        <v>86</v>
      </c>
      <c r="I100" s="930">
        <f t="shared" si="13"/>
        <v>121</v>
      </c>
      <c r="J100" s="931">
        <f t="shared" si="11"/>
        <v>175953.06648848395</v>
      </c>
      <c r="K100" s="931">
        <f t="shared" si="10"/>
        <v>51108.200770807947</v>
      </c>
      <c r="L100" s="933">
        <f t="shared" si="12"/>
        <v>35139505.096925981</v>
      </c>
      <c r="M100" s="291"/>
      <c r="N100" s="291"/>
      <c r="O100" s="291"/>
      <c r="P100" s="291"/>
      <c r="Q100" s="291"/>
    </row>
    <row r="101" spans="1:17">
      <c r="A101" s="910"/>
      <c r="B101" s="930">
        <v>88</v>
      </c>
      <c r="C101" s="931">
        <f t="shared" si="8"/>
        <v>64412.431390844722</v>
      </c>
      <c r="D101" s="931">
        <f t="shared" si="7"/>
        <v>45203.25928802893</v>
      </c>
      <c r="E101" s="931">
        <f t="shared" si="9"/>
        <v>19774006.399433427</v>
      </c>
      <c r="F101" s="291"/>
      <c r="G101" s="293"/>
      <c r="H101" s="930">
        <v>87</v>
      </c>
      <c r="I101" s="930">
        <f t="shared" si="13"/>
        <v>122</v>
      </c>
      <c r="J101" s="931">
        <f t="shared" si="11"/>
        <v>175697.52548462991</v>
      </c>
      <c r="K101" s="931">
        <f t="shared" si="10"/>
        <v>51363.74177466199</v>
      </c>
      <c r="L101" s="933">
        <f t="shared" si="12"/>
        <v>35088141.355151318</v>
      </c>
      <c r="M101" s="291"/>
      <c r="N101" s="291"/>
      <c r="O101" s="291"/>
      <c r="P101" s="291"/>
      <c r="Q101" s="291"/>
    </row>
    <row r="102" spans="1:17">
      <c r="A102" s="910"/>
      <c r="B102" s="930">
        <v>89</v>
      </c>
      <c r="C102" s="931">
        <f t="shared" si="8"/>
        <v>64265.520798158635</v>
      </c>
      <c r="D102" s="931">
        <f t="shared" si="7"/>
        <v>45350.169880715017</v>
      </c>
      <c r="E102" s="931">
        <f t="shared" si="9"/>
        <v>19728656.229552712</v>
      </c>
      <c r="F102" s="291"/>
      <c r="G102" s="293"/>
      <c r="H102" s="930">
        <v>88</v>
      </c>
      <c r="I102" s="930">
        <f t="shared" si="13"/>
        <v>123</v>
      </c>
      <c r="J102" s="931">
        <f t="shared" si="11"/>
        <v>175440.70677575658</v>
      </c>
      <c r="K102" s="931">
        <f t="shared" si="10"/>
        <v>51620.560483535315</v>
      </c>
      <c r="L102" s="933">
        <f t="shared" si="12"/>
        <v>35036520.79466778</v>
      </c>
      <c r="M102" s="291"/>
      <c r="N102" s="291"/>
      <c r="O102" s="291"/>
      <c r="P102" s="291"/>
      <c r="Q102" s="291"/>
    </row>
    <row r="103" spans="1:17">
      <c r="A103" s="910"/>
      <c r="B103" s="930">
        <v>90</v>
      </c>
      <c r="C103" s="931">
        <f t="shared" si="8"/>
        <v>64118.132746046314</v>
      </c>
      <c r="D103" s="931">
        <f t="shared" si="7"/>
        <v>45497.557932827338</v>
      </c>
      <c r="E103" s="931">
        <f t="shared" si="9"/>
        <v>19683158.671619885</v>
      </c>
      <c r="F103" s="291"/>
      <c r="G103" s="293"/>
      <c r="H103" s="930">
        <v>89</v>
      </c>
      <c r="I103" s="930">
        <f t="shared" si="13"/>
        <v>124</v>
      </c>
      <c r="J103" s="931">
        <f t="shared" si="11"/>
        <v>175182.60397333888</v>
      </c>
      <c r="K103" s="931">
        <f t="shared" si="10"/>
        <v>51878.663285953022</v>
      </c>
      <c r="L103" s="933">
        <f t="shared" si="12"/>
        <v>34984642.131381825</v>
      </c>
      <c r="M103" s="291"/>
      <c r="N103" s="291"/>
      <c r="O103" s="291"/>
      <c r="P103" s="291"/>
      <c r="Q103" s="291"/>
    </row>
    <row r="104" spans="1:17">
      <c r="A104" s="910"/>
      <c r="B104" s="930">
        <v>91</v>
      </c>
      <c r="C104" s="931">
        <f t="shared" si="8"/>
        <v>63970.265682764621</v>
      </c>
      <c r="D104" s="931">
        <f t="shared" si="7"/>
        <v>45645.424996109032</v>
      </c>
      <c r="E104" s="931">
        <f t="shared" si="9"/>
        <v>19637513.246623777</v>
      </c>
      <c r="F104" s="291"/>
      <c r="G104" s="293"/>
      <c r="H104" s="930">
        <v>90</v>
      </c>
      <c r="I104" s="930">
        <f t="shared" si="13"/>
        <v>125</v>
      </c>
      <c r="J104" s="931">
        <f t="shared" si="11"/>
        <v>174923.21065690913</v>
      </c>
      <c r="K104" s="931">
        <f t="shared" si="10"/>
        <v>52138.056602382771</v>
      </c>
      <c r="L104" s="933">
        <f t="shared" si="12"/>
        <v>34932504.074779443</v>
      </c>
      <c r="M104" s="291"/>
      <c r="N104" s="291"/>
      <c r="O104" s="291"/>
      <c r="P104" s="291"/>
      <c r="Q104" s="291"/>
    </row>
    <row r="105" spans="1:17">
      <c r="A105" s="910"/>
      <c r="B105" s="930">
        <v>92</v>
      </c>
      <c r="C105" s="931">
        <f t="shared" si="8"/>
        <v>63821.918051527282</v>
      </c>
      <c r="D105" s="931">
        <f t="shared" si="7"/>
        <v>45793.77262734637</v>
      </c>
      <c r="E105" s="931">
        <f t="shared" si="9"/>
        <v>19591719.473996431</v>
      </c>
      <c r="F105" s="291"/>
      <c r="G105" s="293"/>
      <c r="H105" s="930">
        <v>91</v>
      </c>
      <c r="I105" s="930">
        <f t="shared" si="13"/>
        <v>126</v>
      </c>
      <c r="J105" s="931">
        <f t="shared" si="11"/>
        <v>174662.52037389722</v>
      </c>
      <c r="K105" s="931">
        <f t="shared" si="10"/>
        <v>52398.746885394678</v>
      </c>
      <c r="L105" s="933">
        <f t="shared" si="12"/>
        <v>34880105.327894047</v>
      </c>
      <c r="M105" s="291"/>
      <c r="N105" s="291"/>
      <c r="O105" s="291"/>
      <c r="P105" s="291"/>
      <c r="Q105" s="291"/>
    </row>
    <row r="106" spans="1:17">
      <c r="A106" s="910"/>
      <c r="B106" s="930">
        <v>93</v>
      </c>
      <c r="C106" s="931">
        <f t="shared" si="8"/>
        <v>63673.088290488398</v>
      </c>
      <c r="D106" s="931">
        <f t="shared" si="7"/>
        <v>45942.602388385254</v>
      </c>
      <c r="E106" s="931">
        <f t="shared" si="9"/>
        <v>19545776.871608045</v>
      </c>
      <c r="F106" s="291"/>
      <c r="G106" s="293"/>
      <c r="H106" s="930">
        <v>92</v>
      </c>
      <c r="I106" s="930">
        <f t="shared" si="13"/>
        <v>127</v>
      </c>
      <c r="J106" s="931">
        <f t="shared" si="11"/>
        <v>174400.52663947022</v>
      </c>
      <c r="K106" s="931">
        <f t="shared" si="10"/>
        <v>52660.740619821678</v>
      </c>
      <c r="L106" s="933">
        <f t="shared" si="12"/>
        <v>34827444.587274224</v>
      </c>
      <c r="M106" s="291"/>
      <c r="N106" s="291"/>
      <c r="O106" s="291"/>
      <c r="P106" s="291"/>
      <c r="Q106" s="291"/>
    </row>
    <row r="107" spans="1:17">
      <c r="A107" s="910"/>
      <c r="B107" s="930">
        <v>94</v>
      </c>
      <c r="C107" s="931">
        <f t="shared" si="8"/>
        <v>63523.774832726143</v>
      </c>
      <c r="D107" s="931">
        <f t="shared" si="7"/>
        <v>46091.915846147509</v>
      </c>
      <c r="E107" s="931">
        <f t="shared" si="9"/>
        <v>19499684.955761898</v>
      </c>
      <c r="F107" s="291"/>
      <c r="G107" s="293"/>
      <c r="H107" s="930">
        <v>93</v>
      </c>
      <c r="I107" s="930">
        <f t="shared" si="13"/>
        <v>128</v>
      </c>
      <c r="J107" s="931">
        <f t="shared" si="11"/>
        <v>174137.22293637111</v>
      </c>
      <c r="K107" s="931">
        <f t="shared" si="10"/>
        <v>52924.044322920789</v>
      </c>
      <c r="L107" s="933">
        <f t="shared" si="12"/>
        <v>34774520.542951301</v>
      </c>
      <c r="M107" s="291"/>
      <c r="N107" s="291"/>
      <c r="O107" s="291"/>
      <c r="P107" s="291"/>
      <c r="Q107" s="291"/>
    </row>
    <row r="108" spans="1:17">
      <c r="A108" s="910"/>
      <c r="B108" s="930">
        <v>95</v>
      </c>
      <c r="C108" s="931">
        <f t="shared" si="8"/>
        <v>63373.976106226175</v>
      </c>
      <c r="D108" s="931">
        <f t="shared" si="7"/>
        <v>46241.714572647477</v>
      </c>
      <c r="E108" s="931">
        <f t="shared" si="9"/>
        <v>19453443.241189253</v>
      </c>
      <c r="F108" s="291"/>
      <c r="G108" s="293"/>
      <c r="H108" s="930">
        <v>94</v>
      </c>
      <c r="I108" s="930">
        <f t="shared" si="13"/>
        <v>129</v>
      </c>
      <c r="J108" s="931">
        <f t="shared" si="11"/>
        <v>173872.6027147565</v>
      </c>
      <c r="K108" s="931">
        <f t="shared" si="10"/>
        <v>53188.664544535393</v>
      </c>
      <c r="L108" s="933">
        <f t="shared" si="12"/>
        <v>34721331.878406763</v>
      </c>
      <c r="M108" s="291"/>
      <c r="N108" s="291"/>
      <c r="O108" s="291"/>
      <c r="P108" s="291"/>
      <c r="Q108" s="291"/>
    </row>
    <row r="109" spans="1:17">
      <c r="A109" s="929">
        <v>9</v>
      </c>
      <c r="B109" s="930">
        <v>96</v>
      </c>
      <c r="C109" s="931">
        <f t="shared" si="8"/>
        <v>63223.690533865069</v>
      </c>
      <c r="D109" s="931">
        <f t="shared" si="7"/>
        <v>46392.000145008584</v>
      </c>
      <c r="E109" s="931">
        <f t="shared" si="9"/>
        <v>19407051.241044246</v>
      </c>
      <c r="F109" s="291"/>
      <c r="G109" s="293"/>
      <c r="H109" s="930">
        <v>95</v>
      </c>
      <c r="I109" s="930">
        <f t="shared" si="13"/>
        <v>130</v>
      </c>
      <c r="J109" s="931">
        <f t="shared" si="11"/>
        <v>173606.65939203379</v>
      </c>
      <c r="K109" s="931">
        <f t="shared" si="10"/>
        <v>53454.607867258106</v>
      </c>
      <c r="L109" s="933">
        <f t="shared" si="12"/>
        <v>34667877.270539507</v>
      </c>
      <c r="M109" s="291"/>
      <c r="N109" s="291"/>
      <c r="O109" s="291"/>
      <c r="P109" s="291"/>
      <c r="Q109" s="291"/>
    </row>
    <row r="110" spans="1:17">
      <c r="A110" s="910"/>
      <c r="B110" s="930">
        <v>97</v>
      </c>
      <c r="C110" s="931">
        <f t="shared" si="8"/>
        <v>63072.916533393793</v>
      </c>
      <c r="D110" s="931">
        <f t="shared" si="7"/>
        <v>46542.77414547986</v>
      </c>
      <c r="E110" s="931">
        <f t="shared" si="9"/>
        <v>19360508.466898765</v>
      </c>
      <c r="F110" s="291"/>
      <c r="G110" s="293"/>
      <c r="H110" s="930">
        <v>96</v>
      </c>
      <c r="I110" s="930">
        <f t="shared" si="13"/>
        <v>131</v>
      </c>
      <c r="J110" s="931">
        <f t="shared" si="11"/>
        <v>173339.38635269753</v>
      </c>
      <c r="K110" s="931">
        <f t="shared" si="10"/>
        <v>53721.880906594364</v>
      </c>
      <c r="L110" s="933">
        <f t="shared" si="12"/>
        <v>34614155.38963291</v>
      </c>
      <c r="M110" s="291"/>
      <c r="N110" s="291"/>
      <c r="O110" s="291"/>
      <c r="P110" s="291"/>
      <c r="Q110" s="291"/>
    </row>
    <row r="111" spans="1:17">
      <c r="A111" s="910"/>
      <c r="B111" s="930">
        <v>98</v>
      </c>
      <c r="C111" s="931">
        <f t="shared" si="8"/>
        <v>62921.652517420989</v>
      </c>
      <c r="D111" s="931">
        <f t="shared" si="7"/>
        <v>46694.038161452663</v>
      </c>
      <c r="E111" s="931">
        <f t="shared" si="9"/>
        <v>19313814.428737313</v>
      </c>
      <c r="F111" s="291"/>
      <c r="G111" s="293"/>
      <c r="H111" s="930">
        <v>97</v>
      </c>
      <c r="I111" s="930">
        <f t="shared" si="13"/>
        <v>132</v>
      </c>
      <c r="J111" s="931">
        <f t="shared" si="11"/>
        <v>173070.77694816454</v>
      </c>
      <c r="K111" s="931">
        <f t="shared" si="10"/>
        <v>53990.49031112736</v>
      </c>
      <c r="L111" s="933">
        <f t="shared" si="12"/>
        <v>34560164.89932178</v>
      </c>
      <c r="M111" s="291"/>
      <c r="N111" s="291"/>
      <c r="O111" s="291"/>
      <c r="P111" s="291"/>
      <c r="Q111" s="291"/>
    </row>
    <row r="112" spans="1:17">
      <c r="A112" s="910"/>
      <c r="B112" s="930">
        <v>99</v>
      </c>
      <c r="C112" s="931">
        <f t="shared" si="8"/>
        <v>62769.896893396268</v>
      </c>
      <c r="D112" s="931">
        <f t="shared" si="7"/>
        <v>46845.793785477385</v>
      </c>
      <c r="E112" s="931">
        <f t="shared" si="9"/>
        <v>19266968.634951834</v>
      </c>
      <c r="F112" s="291"/>
      <c r="G112" s="293"/>
      <c r="H112" s="930">
        <v>98</v>
      </c>
      <c r="I112" s="930">
        <f t="shared" si="13"/>
        <v>133</v>
      </c>
      <c r="J112" s="931">
        <f t="shared" si="11"/>
        <v>172800.8244966089</v>
      </c>
      <c r="K112" s="931">
        <f t="shared" si="10"/>
        <v>54260.442762683</v>
      </c>
      <c r="L112" s="933">
        <f t="shared" si="12"/>
        <v>34505904.456559099</v>
      </c>
      <c r="M112" s="291"/>
      <c r="N112" s="291"/>
      <c r="O112" s="291"/>
      <c r="P112" s="291"/>
      <c r="Q112" s="291"/>
    </row>
    <row r="113" spans="1:17">
      <c r="A113" s="910"/>
      <c r="B113" s="930">
        <v>100</v>
      </c>
      <c r="C113" s="931">
        <f t="shared" si="8"/>
        <v>62617.648063593457</v>
      </c>
      <c r="D113" s="931">
        <f t="shared" si="7"/>
        <v>46998.042615280196</v>
      </c>
      <c r="E113" s="931">
        <f t="shared" si="9"/>
        <v>19219970.592336554</v>
      </c>
      <c r="F113" s="291"/>
      <c r="G113" s="293"/>
      <c r="H113" s="930">
        <v>99</v>
      </c>
      <c r="I113" s="930">
        <f t="shared" si="13"/>
        <v>134</v>
      </c>
      <c r="J113" s="931">
        <f t="shared" si="11"/>
        <v>172529.52228279549</v>
      </c>
      <c r="K113" s="931">
        <f t="shared" si="10"/>
        <v>54531.744976496411</v>
      </c>
      <c r="L113" s="933">
        <f t="shared" si="12"/>
        <v>34451372.711582601</v>
      </c>
      <c r="M113" s="291"/>
      <c r="N113" s="291"/>
      <c r="O113" s="291"/>
      <c r="P113" s="291"/>
      <c r="Q113" s="291"/>
    </row>
    <row r="114" spans="1:17">
      <c r="A114" s="910"/>
      <c r="B114" s="930">
        <v>101</v>
      </c>
      <c r="C114" s="931">
        <f t="shared" si="8"/>
        <v>62464.904425093795</v>
      </c>
      <c r="D114" s="931">
        <f t="shared" si="7"/>
        <v>47150.786253779857</v>
      </c>
      <c r="E114" s="931">
        <f t="shared" si="9"/>
        <v>19172819.806082774</v>
      </c>
      <c r="F114" s="291"/>
      <c r="G114" s="293"/>
      <c r="H114" s="930">
        <v>100</v>
      </c>
      <c r="I114" s="930">
        <f t="shared" si="13"/>
        <v>135</v>
      </c>
      <c r="J114" s="931">
        <f t="shared" si="11"/>
        <v>172256.86355791299</v>
      </c>
      <c r="K114" s="931">
        <f t="shared" si="10"/>
        <v>54804.403701378906</v>
      </c>
      <c r="L114" s="933">
        <f t="shared" si="12"/>
        <v>34396568.307881221</v>
      </c>
      <c r="M114" s="291"/>
      <c r="N114" s="291"/>
      <c r="O114" s="291"/>
      <c r="P114" s="291"/>
      <c r="Q114" s="291"/>
    </row>
    <row r="115" spans="1:17">
      <c r="A115" s="910"/>
      <c r="B115" s="930">
        <v>102</v>
      </c>
      <c r="C115" s="931">
        <f t="shared" si="8"/>
        <v>62311.664369769016</v>
      </c>
      <c r="D115" s="931">
        <f t="shared" si="7"/>
        <v>47304.026309104636</v>
      </c>
      <c r="E115" s="931">
        <f t="shared" si="9"/>
        <v>19125515.779773667</v>
      </c>
      <c r="F115" s="291"/>
      <c r="G115" s="293"/>
      <c r="H115" s="930">
        <v>101</v>
      </c>
      <c r="I115" s="930">
        <f t="shared" si="13"/>
        <v>136</v>
      </c>
      <c r="J115" s="931">
        <f t="shared" si="11"/>
        <v>171982.8415394061</v>
      </c>
      <c r="K115" s="931">
        <f t="shared" si="10"/>
        <v>55078.425719885796</v>
      </c>
      <c r="L115" s="933">
        <f t="shared" si="12"/>
        <v>34341489.882161334</v>
      </c>
      <c r="M115" s="291"/>
      <c r="N115" s="291"/>
      <c r="O115" s="291"/>
      <c r="P115" s="291"/>
      <c r="Q115" s="291"/>
    </row>
    <row r="116" spans="1:17">
      <c r="A116" s="910"/>
      <c r="B116" s="930">
        <v>103</v>
      </c>
      <c r="C116" s="931">
        <f t="shared" si="8"/>
        <v>62157.926284264424</v>
      </c>
      <c r="D116" s="931">
        <f t="shared" si="7"/>
        <v>47457.764394609228</v>
      </c>
      <c r="E116" s="931">
        <f t="shared" si="9"/>
        <v>19078058.01537906</v>
      </c>
      <c r="F116" s="291"/>
      <c r="G116" s="293"/>
      <c r="H116" s="930">
        <v>102</v>
      </c>
      <c r="I116" s="930">
        <f t="shared" si="13"/>
        <v>137</v>
      </c>
      <c r="J116" s="931">
        <f t="shared" si="11"/>
        <v>171707.44941080667</v>
      </c>
      <c r="K116" s="931">
        <f t="shared" si="10"/>
        <v>55353.817848485225</v>
      </c>
      <c r="L116" s="933">
        <f t="shared" si="12"/>
        <v>34286136.064312845</v>
      </c>
      <c r="M116" s="291"/>
      <c r="N116" s="291"/>
      <c r="O116" s="291"/>
      <c r="P116" s="291"/>
      <c r="Q116" s="291"/>
    </row>
    <row r="117" spans="1:17">
      <c r="A117" s="910"/>
      <c r="B117" s="930">
        <v>104</v>
      </c>
      <c r="C117" s="931">
        <f t="shared" si="8"/>
        <v>62003.688549981947</v>
      </c>
      <c r="D117" s="931">
        <f t="shared" si="7"/>
        <v>47612.002128891705</v>
      </c>
      <c r="E117" s="931">
        <f t="shared" si="9"/>
        <v>19030446.013250168</v>
      </c>
      <c r="F117" s="291"/>
      <c r="G117" s="293"/>
      <c r="H117" s="930">
        <v>103</v>
      </c>
      <c r="I117" s="930">
        <f t="shared" si="13"/>
        <v>138</v>
      </c>
      <c r="J117" s="931">
        <f t="shared" si="11"/>
        <v>171430.68032156423</v>
      </c>
      <c r="K117" s="931">
        <f t="shared" si="10"/>
        <v>55630.586937727669</v>
      </c>
      <c r="L117" s="933">
        <f t="shared" si="12"/>
        <v>34230505.47737512</v>
      </c>
      <c r="M117" s="291"/>
      <c r="N117" s="291"/>
      <c r="O117" s="291"/>
      <c r="P117" s="291"/>
      <c r="Q117" s="291"/>
    </row>
    <row r="118" spans="1:17">
      <c r="A118" s="910"/>
      <c r="B118" s="930">
        <v>105</v>
      </c>
      <c r="C118" s="931">
        <f t="shared" si="8"/>
        <v>61848.949543063041</v>
      </c>
      <c r="D118" s="931">
        <f t="shared" si="7"/>
        <v>47766.741135810611</v>
      </c>
      <c r="E118" s="931">
        <f t="shared" si="9"/>
        <v>18982679.272114359</v>
      </c>
      <c r="F118" s="291"/>
      <c r="G118" s="293"/>
      <c r="H118" s="930">
        <v>104</v>
      </c>
      <c r="I118" s="930">
        <f t="shared" si="13"/>
        <v>139</v>
      </c>
      <c r="J118" s="931">
        <f t="shared" si="11"/>
        <v>171152.52738687559</v>
      </c>
      <c r="K118" s="931">
        <f t="shared" si="10"/>
        <v>55908.739872416307</v>
      </c>
      <c r="L118" s="933">
        <f t="shared" si="12"/>
        <v>34174596.737502702</v>
      </c>
      <c r="M118" s="291"/>
      <c r="N118" s="291"/>
      <c r="O118" s="291"/>
      <c r="P118" s="291"/>
      <c r="Q118" s="291"/>
    </row>
    <row r="119" spans="1:17">
      <c r="A119" s="910"/>
      <c r="B119" s="930">
        <v>106</v>
      </c>
      <c r="C119" s="931">
        <f t="shared" si="8"/>
        <v>61693.707634371669</v>
      </c>
      <c r="D119" s="931">
        <f t="shared" si="7"/>
        <v>47921.983044501983</v>
      </c>
      <c r="E119" s="931">
        <f t="shared" si="9"/>
        <v>18934757.289069857</v>
      </c>
      <c r="F119" s="291"/>
      <c r="G119" s="293"/>
      <c r="H119" s="930">
        <v>105</v>
      </c>
      <c r="I119" s="930">
        <f t="shared" si="13"/>
        <v>140</v>
      </c>
      <c r="J119" s="931">
        <f t="shared" si="11"/>
        <v>170872.98368751351</v>
      </c>
      <c r="K119" s="931">
        <f t="shared" si="10"/>
        <v>56188.283571778389</v>
      </c>
      <c r="L119" s="933">
        <f t="shared" si="12"/>
        <v>34118408.453930922</v>
      </c>
      <c r="M119" s="291"/>
      <c r="N119" s="291"/>
      <c r="O119" s="291"/>
      <c r="P119" s="291"/>
      <c r="Q119" s="291"/>
    </row>
    <row r="120" spans="1:17">
      <c r="A120" s="910"/>
      <c r="B120" s="930">
        <v>107</v>
      </c>
      <c r="C120" s="931">
        <f t="shared" si="8"/>
        <v>61537.961189477035</v>
      </c>
      <c r="D120" s="931">
        <f t="shared" si="7"/>
        <v>48077.729489396617</v>
      </c>
      <c r="E120" s="931">
        <f t="shared" si="9"/>
        <v>18886679.55958046</v>
      </c>
      <c r="F120" s="291"/>
      <c r="G120" s="293"/>
      <c r="H120" s="930">
        <v>106</v>
      </c>
      <c r="I120" s="930">
        <f t="shared" si="13"/>
        <v>141</v>
      </c>
      <c r="J120" s="931">
        <f t="shared" si="11"/>
        <v>170592.0422696546</v>
      </c>
      <c r="K120" s="931">
        <f t="shared" si="10"/>
        <v>56469.224989637296</v>
      </c>
      <c r="L120" s="933">
        <f t="shared" si="12"/>
        <v>34061939.228941284</v>
      </c>
      <c r="M120" s="291"/>
      <c r="N120" s="291"/>
      <c r="O120" s="291"/>
      <c r="P120" s="291"/>
      <c r="Q120" s="291"/>
    </row>
    <row r="121" spans="1:17">
      <c r="A121" s="929">
        <v>10</v>
      </c>
      <c r="B121" s="930">
        <v>108</v>
      </c>
      <c r="C121" s="931">
        <f t="shared" si="8"/>
        <v>61381.708568636495</v>
      </c>
      <c r="D121" s="931">
        <f t="shared" si="7"/>
        <v>48233.982110237157</v>
      </c>
      <c r="E121" s="931">
        <f t="shared" si="9"/>
        <v>18838445.577470224</v>
      </c>
      <c r="F121" s="291"/>
      <c r="G121" s="293"/>
      <c r="H121" s="930">
        <v>107</v>
      </c>
      <c r="I121" s="930">
        <f t="shared" si="13"/>
        <v>142</v>
      </c>
      <c r="J121" s="931">
        <f t="shared" si="11"/>
        <v>170309.69614470642</v>
      </c>
      <c r="K121" s="931">
        <f t="shared" si="10"/>
        <v>56751.571114585473</v>
      </c>
      <c r="L121" s="933">
        <f t="shared" si="12"/>
        <v>34005187.657826699</v>
      </c>
      <c r="M121" s="291"/>
      <c r="N121" s="291"/>
      <c r="O121" s="291"/>
      <c r="P121" s="291"/>
      <c r="Q121" s="291"/>
    </row>
    <row r="122" spans="1:17">
      <c r="A122" s="910"/>
      <c r="B122" s="930">
        <v>109</v>
      </c>
      <c r="C122" s="931">
        <f t="shared" si="8"/>
        <v>61224.948126778232</v>
      </c>
      <c r="D122" s="931">
        <f t="shared" si="7"/>
        <v>48390.74255209542</v>
      </c>
      <c r="E122" s="931">
        <f t="shared" si="9"/>
        <v>18790054.83491813</v>
      </c>
      <c r="F122" s="291"/>
      <c r="G122" s="293"/>
      <c r="H122" s="930">
        <v>108</v>
      </c>
      <c r="I122" s="930">
        <f t="shared" si="13"/>
        <v>143</v>
      </c>
      <c r="J122" s="931">
        <f t="shared" si="11"/>
        <v>170025.93828913348</v>
      </c>
      <c r="K122" s="931">
        <f t="shared" si="10"/>
        <v>57035.328970158414</v>
      </c>
      <c r="L122" s="933">
        <f t="shared" si="12"/>
        <v>33948152.328856543</v>
      </c>
      <c r="M122" s="291"/>
      <c r="N122" s="291"/>
      <c r="O122" s="291"/>
      <c r="P122" s="291"/>
      <c r="Q122" s="291"/>
    </row>
    <row r="123" spans="1:17">
      <c r="A123" s="910"/>
      <c r="B123" s="930">
        <v>110</v>
      </c>
      <c r="C123" s="931">
        <f t="shared" si="8"/>
        <v>61067.678213483923</v>
      </c>
      <c r="D123" s="931">
        <f t="shared" si="7"/>
        <v>48548.012465389729</v>
      </c>
      <c r="E123" s="931">
        <f t="shared" si="9"/>
        <v>18741506.822452739</v>
      </c>
      <c r="F123" s="291"/>
      <c r="G123" s="293"/>
      <c r="H123" s="930">
        <v>109</v>
      </c>
      <c r="I123" s="930">
        <f t="shared" si="13"/>
        <v>144</v>
      </c>
      <c r="J123" s="931">
        <f t="shared" si="11"/>
        <v>169740.7616442827</v>
      </c>
      <c r="K123" s="931">
        <f t="shared" si="10"/>
        <v>57320.505615009199</v>
      </c>
      <c r="L123" s="933">
        <f t="shared" si="12"/>
        <v>33890831.823241532</v>
      </c>
      <c r="M123" s="291"/>
      <c r="N123" s="291"/>
      <c r="O123" s="291"/>
      <c r="P123" s="291"/>
      <c r="Q123" s="291"/>
    </row>
    <row r="124" spans="1:17">
      <c r="A124" s="910"/>
      <c r="B124" s="930">
        <v>111</v>
      </c>
      <c r="C124" s="931">
        <f t="shared" si="8"/>
        <v>60909.897172971403</v>
      </c>
      <c r="D124" s="931">
        <f t="shared" si="7"/>
        <v>48705.793505902249</v>
      </c>
      <c r="E124" s="931">
        <f t="shared" si="9"/>
        <v>18692801.028946836</v>
      </c>
      <c r="F124" s="291"/>
      <c r="G124" s="293"/>
      <c r="H124" s="930">
        <v>110</v>
      </c>
      <c r="I124" s="930">
        <f t="shared" si="13"/>
        <v>145</v>
      </c>
      <c r="J124" s="931">
        <f t="shared" si="11"/>
        <v>169454.15911620765</v>
      </c>
      <c r="K124" s="931">
        <f t="shared" si="10"/>
        <v>57607.108143084246</v>
      </c>
      <c r="L124" s="933">
        <f t="shared" si="12"/>
        <v>33833224.715098448</v>
      </c>
      <c r="M124" s="291"/>
      <c r="N124" s="291"/>
      <c r="O124" s="291"/>
      <c r="P124" s="291"/>
      <c r="Q124" s="291"/>
    </row>
    <row r="125" spans="1:17">
      <c r="A125" s="910"/>
      <c r="B125" s="930">
        <v>112</v>
      </c>
      <c r="C125" s="931">
        <f t="shared" si="8"/>
        <v>60751.603344077215</v>
      </c>
      <c r="D125" s="931">
        <f t="shared" si="7"/>
        <v>48864.087334796437</v>
      </c>
      <c r="E125" s="931">
        <f t="shared" si="9"/>
        <v>18643936.941612039</v>
      </c>
      <c r="F125" s="291"/>
      <c r="G125" s="293"/>
      <c r="H125" s="930">
        <v>111</v>
      </c>
      <c r="I125" s="930">
        <f t="shared" si="13"/>
        <v>146</v>
      </c>
      <c r="J125" s="931">
        <f t="shared" si="11"/>
        <v>169166.12357549224</v>
      </c>
      <c r="K125" s="931">
        <f t="shared" si="10"/>
        <v>57895.143683799659</v>
      </c>
      <c r="L125" s="933">
        <f t="shared" si="12"/>
        <v>33775329.571414649</v>
      </c>
      <c r="M125" s="291"/>
      <c r="N125" s="291"/>
      <c r="O125" s="291"/>
      <c r="P125" s="291"/>
      <c r="Q125" s="291"/>
    </row>
    <row r="126" spans="1:17">
      <c r="A126" s="910"/>
      <c r="B126" s="930">
        <v>113</v>
      </c>
      <c r="C126" s="931">
        <f t="shared" si="8"/>
        <v>60592.795060239121</v>
      </c>
      <c r="D126" s="931">
        <f t="shared" si="7"/>
        <v>49022.895618634531</v>
      </c>
      <c r="E126" s="931">
        <f t="shared" si="9"/>
        <v>18594914.045993403</v>
      </c>
      <c r="F126" s="291"/>
      <c r="G126" s="293"/>
      <c r="H126" s="930">
        <v>112</v>
      </c>
      <c r="I126" s="930">
        <f t="shared" si="13"/>
        <v>147</v>
      </c>
      <c r="J126" s="931">
        <f t="shared" si="11"/>
        <v>168876.64785707326</v>
      </c>
      <c r="K126" s="931">
        <f t="shared" si="10"/>
        <v>58184.619402218639</v>
      </c>
      <c r="L126" s="933">
        <f t="shared" si="12"/>
        <v>33717144.952012427</v>
      </c>
      <c r="M126" s="291"/>
      <c r="N126" s="291"/>
      <c r="O126" s="291"/>
      <c r="P126" s="291"/>
      <c r="Q126" s="291"/>
    </row>
    <row r="127" spans="1:17">
      <c r="A127" s="910"/>
      <c r="B127" s="930">
        <v>114</v>
      </c>
      <c r="C127" s="931">
        <f t="shared" si="8"/>
        <v>60433.470649478557</v>
      </c>
      <c r="D127" s="931">
        <f t="shared" si="7"/>
        <v>49182.220029395095</v>
      </c>
      <c r="E127" s="931">
        <f t="shared" si="9"/>
        <v>18545731.825964008</v>
      </c>
      <c r="F127" s="291"/>
      <c r="G127" s="293"/>
      <c r="H127" s="930">
        <v>113</v>
      </c>
      <c r="I127" s="930">
        <f t="shared" si="13"/>
        <v>148</v>
      </c>
      <c r="J127" s="931">
        <f t="shared" si="11"/>
        <v>168585.72476006215</v>
      </c>
      <c r="K127" s="931">
        <f t="shared" si="10"/>
        <v>58475.542499229749</v>
      </c>
      <c r="L127" s="933">
        <f t="shared" si="12"/>
        <v>33658669.409513198</v>
      </c>
      <c r="M127" s="291"/>
      <c r="N127" s="291"/>
      <c r="O127" s="291"/>
      <c r="P127" s="291"/>
      <c r="Q127" s="291"/>
    </row>
    <row r="128" spans="1:17">
      <c r="A128" s="910"/>
      <c r="B128" s="930">
        <v>115</v>
      </c>
      <c r="C128" s="931">
        <f t="shared" si="8"/>
        <v>60273.628434383027</v>
      </c>
      <c r="D128" s="931">
        <f t="shared" si="7"/>
        <v>49342.062244490626</v>
      </c>
      <c r="E128" s="931">
        <f t="shared" si="9"/>
        <v>18496389.763719518</v>
      </c>
      <c r="F128" s="291"/>
      <c r="G128" s="293"/>
      <c r="H128" s="930">
        <v>114</v>
      </c>
      <c r="I128" s="930">
        <f t="shared" si="13"/>
        <v>149</v>
      </c>
      <c r="J128" s="931">
        <f t="shared" si="11"/>
        <v>168293.347047566</v>
      </c>
      <c r="K128" s="931">
        <f t="shared" si="10"/>
        <v>58767.920211725897</v>
      </c>
      <c r="L128" s="933">
        <f t="shared" si="12"/>
        <v>33599901.489301473</v>
      </c>
      <c r="M128" s="291"/>
      <c r="N128" s="291"/>
      <c r="O128" s="291"/>
      <c r="P128" s="291"/>
      <c r="Q128" s="291"/>
    </row>
    <row r="129" spans="1:17">
      <c r="A129" s="910"/>
      <c r="B129" s="930">
        <v>116</v>
      </c>
      <c r="C129" s="931">
        <f t="shared" si="8"/>
        <v>60113.266732088436</v>
      </c>
      <c r="D129" s="931">
        <f t="shared" si="7"/>
        <v>49502.423946785217</v>
      </c>
      <c r="E129" s="931">
        <f t="shared" si="9"/>
        <v>18446887.339772731</v>
      </c>
      <c r="F129" s="291"/>
      <c r="G129" s="293"/>
      <c r="H129" s="930">
        <v>115</v>
      </c>
      <c r="I129" s="930">
        <f t="shared" si="13"/>
        <v>150</v>
      </c>
      <c r="J129" s="931">
        <f t="shared" si="11"/>
        <v>167999.50744650737</v>
      </c>
      <c r="K129" s="931">
        <f t="shared" si="10"/>
        <v>59061.759812784527</v>
      </c>
      <c r="L129" s="933">
        <f t="shared" si="12"/>
        <v>33540839.729488689</v>
      </c>
      <c r="M129" s="291"/>
      <c r="N129" s="291"/>
      <c r="O129" s="291"/>
      <c r="P129" s="291"/>
      <c r="Q129" s="291"/>
    </row>
    <row r="130" spans="1:17">
      <c r="A130" s="910"/>
      <c r="B130" s="930">
        <v>117</v>
      </c>
      <c r="C130" s="931">
        <f t="shared" si="8"/>
        <v>59952.383854261374</v>
      </c>
      <c r="D130" s="931">
        <f t="shared" si="7"/>
        <v>49663.306824612278</v>
      </c>
      <c r="E130" s="931">
        <f t="shared" si="9"/>
        <v>18397224.032948118</v>
      </c>
      <c r="F130" s="291"/>
      <c r="G130" s="293"/>
      <c r="H130" s="930">
        <v>116</v>
      </c>
      <c r="I130" s="930">
        <f t="shared" si="13"/>
        <v>151</v>
      </c>
      <c r="J130" s="931">
        <f t="shared" si="11"/>
        <v>167704.19864744344</v>
      </c>
      <c r="K130" s="931">
        <f t="shared" si="10"/>
        <v>59357.068611848459</v>
      </c>
      <c r="L130" s="933">
        <f t="shared" si="12"/>
        <v>33481482.66087684</v>
      </c>
      <c r="M130" s="291"/>
      <c r="N130" s="291"/>
      <c r="O130" s="291"/>
      <c r="P130" s="291"/>
      <c r="Q130" s="291"/>
    </row>
    <row r="131" spans="1:17">
      <c r="A131" s="910"/>
      <c r="B131" s="930">
        <v>118</v>
      </c>
      <c r="C131" s="931">
        <f t="shared" si="8"/>
        <v>59790.978107081384</v>
      </c>
      <c r="D131" s="931">
        <f t="shared" si="7"/>
        <v>49824.712571792268</v>
      </c>
      <c r="E131" s="931">
        <f t="shared" si="9"/>
        <v>18347399.320376325</v>
      </c>
      <c r="F131" s="291"/>
      <c r="G131" s="293"/>
      <c r="H131" s="930">
        <v>117</v>
      </c>
      <c r="I131" s="930">
        <f t="shared" si="13"/>
        <v>152</v>
      </c>
      <c r="J131" s="931">
        <f t="shared" si="11"/>
        <v>167407.41330438419</v>
      </c>
      <c r="K131" s="931">
        <f t="shared" si="10"/>
        <v>59653.85395490771</v>
      </c>
      <c r="L131" s="933">
        <f t="shared" si="12"/>
        <v>33421828.806921933</v>
      </c>
      <c r="M131" s="291"/>
      <c r="N131" s="291"/>
      <c r="O131" s="291"/>
      <c r="P131" s="291"/>
      <c r="Q131" s="291"/>
    </row>
    <row r="132" spans="1:17">
      <c r="A132" s="910"/>
      <c r="B132" s="930">
        <v>119</v>
      </c>
      <c r="C132" s="931">
        <f t="shared" si="8"/>
        <v>59629.047791223064</v>
      </c>
      <c r="D132" s="931">
        <f t="shared" si="7"/>
        <v>49986.642887650589</v>
      </c>
      <c r="E132" s="931">
        <f t="shared" si="9"/>
        <v>18297412.677488673</v>
      </c>
      <c r="F132" s="291"/>
      <c r="G132" s="293"/>
      <c r="H132" s="930">
        <v>118</v>
      </c>
      <c r="I132" s="930">
        <f t="shared" si="13"/>
        <v>153</v>
      </c>
      <c r="J132" s="931">
        <f t="shared" si="11"/>
        <v>167109.14403460966</v>
      </c>
      <c r="K132" s="931">
        <f t="shared" si="10"/>
        <v>59952.123224682233</v>
      </c>
      <c r="L132" s="933">
        <f t="shared" si="12"/>
        <v>33361876.68369725</v>
      </c>
      <c r="M132" s="291"/>
      <c r="N132" s="291"/>
      <c r="O132" s="291"/>
      <c r="P132" s="291"/>
      <c r="Q132" s="291"/>
    </row>
    <row r="133" spans="1:17">
      <c r="A133" s="929">
        <v>11</v>
      </c>
      <c r="B133" s="930">
        <v>120</v>
      </c>
      <c r="C133" s="931">
        <f t="shared" si="8"/>
        <v>59466.591201838193</v>
      </c>
      <c r="D133" s="931">
        <f t="shared" si="7"/>
        <v>50149.099477035459</v>
      </c>
      <c r="E133" s="931">
        <f t="shared" si="9"/>
        <v>18247263.578011639</v>
      </c>
      <c r="F133" s="291"/>
      <c r="G133" s="293"/>
      <c r="H133" s="930">
        <v>119</v>
      </c>
      <c r="I133" s="930">
        <f t="shared" si="13"/>
        <v>154</v>
      </c>
      <c r="J133" s="931">
        <f t="shared" si="11"/>
        <v>166809.38341848625</v>
      </c>
      <c r="K133" s="931">
        <f t="shared" si="10"/>
        <v>60251.883840805647</v>
      </c>
      <c r="L133" s="933">
        <f t="shared" si="12"/>
        <v>33301624.799856443</v>
      </c>
      <c r="M133" s="291"/>
      <c r="N133" s="291"/>
      <c r="O133" s="291"/>
      <c r="P133" s="291"/>
      <c r="Q133" s="291"/>
    </row>
    <row r="134" spans="1:17">
      <c r="A134" s="910"/>
      <c r="B134" s="930">
        <v>121</v>
      </c>
      <c r="C134" s="931">
        <f t="shared" si="8"/>
        <v>59303.606628537826</v>
      </c>
      <c r="D134" s="931">
        <f t="shared" si="7"/>
        <v>50312.084050335827</v>
      </c>
      <c r="E134" s="931">
        <f t="shared" si="9"/>
        <v>18196951.493961304</v>
      </c>
      <c r="F134" s="291"/>
      <c r="G134" s="293"/>
      <c r="H134" s="930">
        <v>120</v>
      </c>
      <c r="I134" s="930">
        <f t="shared" si="13"/>
        <v>155</v>
      </c>
      <c r="J134" s="931">
        <f t="shared" si="11"/>
        <v>166508.12399928222</v>
      </c>
      <c r="K134" s="931">
        <f t="shared" si="10"/>
        <v>60553.143260009674</v>
      </c>
      <c r="L134" s="933">
        <f t="shared" si="12"/>
        <v>33241071.656596433</v>
      </c>
      <c r="M134" s="291"/>
      <c r="N134" s="291"/>
      <c r="O134" s="291"/>
      <c r="P134" s="291"/>
      <c r="Q134" s="291"/>
    </row>
    <row r="135" spans="1:17">
      <c r="A135" s="910"/>
      <c r="B135" s="930">
        <v>122</v>
      </c>
      <c r="C135" s="931">
        <f t="shared" si="8"/>
        <v>59140.09235537424</v>
      </c>
      <c r="D135" s="931">
        <f t="shared" si="7"/>
        <v>50475.598323499413</v>
      </c>
      <c r="E135" s="931">
        <f t="shared" si="9"/>
        <v>18146475.895637807</v>
      </c>
      <c r="F135" s="291"/>
      <c r="G135" s="293"/>
      <c r="H135" s="930">
        <v>121</v>
      </c>
      <c r="I135" s="930">
        <f t="shared" si="13"/>
        <v>156</v>
      </c>
      <c r="J135" s="931">
        <f t="shared" si="11"/>
        <v>166205.35828298217</v>
      </c>
      <c r="K135" s="931">
        <f t="shared" si="10"/>
        <v>60855.908976309729</v>
      </c>
      <c r="L135" s="933">
        <f t="shared" si="12"/>
        <v>33180215.747620124</v>
      </c>
      <c r="M135" s="291"/>
      <c r="N135" s="291"/>
      <c r="O135" s="291"/>
      <c r="P135" s="291"/>
      <c r="Q135" s="291"/>
    </row>
    <row r="136" spans="1:17">
      <c r="A136" s="910"/>
      <c r="B136" s="930">
        <v>123</v>
      </c>
      <c r="C136" s="931">
        <f t="shared" si="8"/>
        <v>58976.046660822874</v>
      </c>
      <c r="D136" s="931">
        <f t="shared" si="7"/>
        <v>50639.644018050778</v>
      </c>
      <c r="E136" s="931">
        <f t="shared" si="9"/>
        <v>18095836.251619756</v>
      </c>
      <c r="F136" s="291"/>
      <c r="G136" s="293"/>
      <c r="H136" s="930">
        <v>122</v>
      </c>
      <c r="I136" s="930">
        <f t="shared" si="13"/>
        <v>157</v>
      </c>
      <c r="J136" s="931">
        <f t="shared" si="11"/>
        <v>165901.07873810062</v>
      </c>
      <c r="K136" s="931">
        <f t="shared" si="10"/>
        <v>61160.188521191274</v>
      </c>
      <c r="L136" s="933">
        <f t="shared" si="12"/>
        <v>33119055.559098933</v>
      </c>
      <c r="M136" s="291"/>
      <c r="N136" s="291"/>
      <c r="O136" s="291"/>
      <c r="P136" s="291"/>
      <c r="Q136" s="291"/>
    </row>
    <row r="137" spans="1:17">
      <c r="A137" s="910"/>
      <c r="B137" s="930">
        <v>124</v>
      </c>
      <c r="C137" s="931">
        <f t="shared" si="8"/>
        <v>58811.467817764205</v>
      </c>
      <c r="D137" s="931">
        <f t="shared" si="7"/>
        <v>50804.222861109447</v>
      </c>
      <c r="E137" s="931">
        <f t="shared" si="9"/>
        <v>18045032.028758645</v>
      </c>
      <c r="F137" s="291"/>
      <c r="G137" s="293"/>
      <c r="H137" s="930">
        <v>123</v>
      </c>
      <c r="I137" s="930">
        <f t="shared" si="13"/>
        <v>158</v>
      </c>
      <c r="J137" s="931">
        <f t="shared" si="11"/>
        <v>165595.27779549465</v>
      </c>
      <c r="K137" s="931">
        <f t="shared" si="10"/>
        <v>61465.989463797247</v>
      </c>
      <c r="L137" s="933">
        <f t="shared" si="12"/>
        <v>33057589.569635134</v>
      </c>
      <c r="M137" s="291"/>
      <c r="N137" s="291"/>
      <c r="O137" s="291"/>
      <c r="P137" s="291"/>
      <c r="Q137" s="291"/>
    </row>
    <row r="138" spans="1:17">
      <c r="A138" s="910"/>
      <c r="B138" s="930">
        <v>125</v>
      </c>
      <c r="C138" s="931">
        <f t="shared" si="8"/>
        <v>58646.354093465598</v>
      </c>
      <c r="D138" s="931">
        <f t="shared" si="7"/>
        <v>50969.336585408055</v>
      </c>
      <c r="E138" s="931">
        <f t="shared" si="9"/>
        <v>17994062.692173239</v>
      </c>
      <c r="F138" s="291"/>
      <c r="G138" s="293"/>
      <c r="H138" s="930">
        <v>124</v>
      </c>
      <c r="I138" s="930">
        <f t="shared" si="13"/>
        <v>159</v>
      </c>
      <c r="J138" s="931">
        <f t="shared" si="11"/>
        <v>165287.94784817568</v>
      </c>
      <c r="K138" s="931">
        <f t="shared" si="10"/>
        <v>61773.319411116216</v>
      </c>
      <c r="L138" s="933">
        <f t="shared" si="12"/>
        <v>32995816.250224017</v>
      </c>
      <c r="M138" s="291"/>
      <c r="N138" s="291"/>
      <c r="O138" s="291"/>
      <c r="P138" s="291"/>
      <c r="Q138" s="291"/>
    </row>
    <row r="139" spans="1:17">
      <c r="A139" s="910"/>
      <c r="B139" s="930">
        <v>126</v>
      </c>
      <c r="C139" s="931">
        <f t="shared" si="8"/>
        <v>58480.703749563028</v>
      </c>
      <c r="D139" s="931">
        <f t="shared" si="7"/>
        <v>51134.986929310624</v>
      </c>
      <c r="E139" s="931">
        <f t="shared" si="9"/>
        <v>17942927.705243926</v>
      </c>
      <c r="F139" s="291"/>
      <c r="G139" s="293"/>
      <c r="H139" s="930">
        <v>125</v>
      </c>
      <c r="I139" s="930">
        <f t="shared" si="13"/>
        <v>160</v>
      </c>
      <c r="J139" s="931">
        <f t="shared" si="11"/>
        <v>164979.08125112008</v>
      </c>
      <c r="K139" s="931">
        <f t="shared" si="10"/>
        <v>62082.186008171819</v>
      </c>
      <c r="L139" s="933">
        <f t="shared" si="12"/>
        <v>32933734.064215846</v>
      </c>
      <c r="M139" s="291"/>
      <c r="N139" s="291"/>
      <c r="O139" s="291"/>
      <c r="P139" s="291"/>
      <c r="Q139" s="291"/>
    </row>
    <row r="140" spans="1:17">
      <c r="A140" s="910"/>
      <c r="B140" s="930">
        <v>127</v>
      </c>
      <c r="C140" s="931">
        <f t="shared" si="8"/>
        <v>58314.51504204276</v>
      </c>
      <c r="D140" s="931">
        <f t="shared" si="7"/>
        <v>51301.175636830892</v>
      </c>
      <c r="E140" s="931">
        <f t="shared" si="9"/>
        <v>17891626.529607095</v>
      </c>
      <c r="F140" s="291"/>
      <c r="G140" s="293"/>
      <c r="H140" s="930">
        <v>126</v>
      </c>
      <c r="I140" s="930">
        <f t="shared" si="13"/>
        <v>161</v>
      </c>
      <c r="J140" s="931">
        <f t="shared" si="11"/>
        <v>164668.67032107923</v>
      </c>
      <c r="K140" s="931">
        <f t="shared" si="10"/>
        <v>62392.596938212664</v>
      </c>
      <c r="L140" s="933">
        <f t="shared" si="12"/>
        <v>32871341.467277635</v>
      </c>
      <c r="M140" s="291"/>
      <c r="N140" s="291"/>
      <c r="O140" s="291"/>
      <c r="P140" s="291"/>
      <c r="Q140" s="291"/>
    </row>
    <row r="141" spans="1:17">
      <c r="A141" s="910"/>
      <c r="B141" s="930">
        <v>128</v>
      </c>
      <c r="C141" s="931">
        <f t="shared" si="8"/>
        <v>58147.786221223061</v>
      </c>
      <c r="D141" s="931">
        <f t="shared" si="7"/>
        <v>51467.904457650591</v>
      </c>
      <c r="E141" s="931">
        <f t="shared" si="9"/>
        <v>17840158.625149444</v>
      </c>
      <c r="F141" s="291"/>
      <c r="G141" s="293"/>
      <c r="H141" s="930">
        <v>127</v>
      </c>
      <c r="I141" s="930">
        <f t="shared" si="13"/>
        <v>162</v>
      </c>
      <c r="J141" s="931">
        <f t="shared" si="11"/>
        <v>164356.70733638815</v>
      </c>
      <c r="K141" s="931">
        <f t="shared" si="10"/>
        <v>62704.559922903747</v>
      </c>
      <c r="L141" s="933">
        <f t="shared" si="12"/>
        <v>32808636.907354731</v>
      </c>
      <c r="M141" s="291"/>
      <c r="N141" s="291"/>
      <c r="O141" s="291"/>
      <c r="P141" s="291"/>
      <c r="Q141" s="291"/>
    </row>
    <row r="142" spans="1:17">
      <c r="A142" s="910"/>
      <c r="B142" s="930">
        <v>129</v>
      </c>
      <c r="C142" s="931">
        <f t="shared" si="8"/>
        <v>57980.515531735691</v>
      </c>
      <c r="D142" s="931">
        <f t="shared" ref="D142:D205" si="14">IF($C$10&gt;B142,0,IF(C142&lt;0.01,0,$C$8-C142))</f>
        <v>51635.175147137961</v>
      </c>
      <c r="E142" s="931">
        <f t="shared" si="9"/>
        <v>17788523.450002305</v>
      </c>
      <c r="F142" s="291"/>
      <c r="G142" s="293"/>
      <c r="H142" s="930">
        <v>128</v>
      </c>
      <c r="I142" s="930">
        <f t="shared" si="13"/>
        <v>163</v>
      </c>
      <c r="J142" s="931">
        <f t="shared" si="11"/>
        <v>164043.18453677365</v>
      </c>
      <c r="K142" s="931">
        <f t="shared" si="10"/>
        <v>63018.082722518244</v>
      </c>
      <c r="L142" s="933">
        <f t="shared" si="12"/>
        <v>32745618.824632213</v>
      </c>
      <c r="M142" s="291"/>
      <c r="N142" s="291"/>
      <c r="O142" s="291"/>
      <c r="P142" s="291"/>
      <c r="Q142" s="291"/>
    </row>
    <row r="143" spans="1:17">
      <c r="A143" s="910"/>
      <c r="B143" s="930">
        <v>130</v>
      </c>
      <c r="C143" s="931">
        <f t="shared" ref="C143:C206" si="15">IF(E142&lt;0.01,0,E142*$C$5/12)</f>
        <v>57812.701212507491</v>
      </c>
      <c r="D143" s="931">
        <f t="shared" si="14"/>
        <v>51802.989466366162</v>
      </c>
      <c r="E143" s="931">
        <f t="shared" ref="E143:E206" si="16">IF(E142&lt;0.01,0,E142-D143)</f>
        <v>17736720.46053594</v>
      </c>
      <c r="F143" s="291"/>
      <c r="G143" s="293"/>
      <c r="H143" s="930">
        <v>129</v>
      </c>
      <c r="I143" s="930">
        <f t="shared" si="13"/>
        <v>164</v>
      </c>
      <c r="J143" s="931">
        <f t="shared" si="11"/>
        <v>163728.09412316105</v>
      </c>
      <c r="K143" s="931">
        <f t="shared" ref="K143:K206" si="17">IF($I$10&gt;H143,0,IF(J143&lt;0.01,0,$I$8-J143))</f>
        <v>63333.173136130848</v>
      </c>
      <c r="L143" s="933">
        <f t="shared" si="12"/>
        <v>32682285.651496083</v>
      </c>
      <c r="M143" s="291"/>
      <c r="N143" s="291"/>
      <c r="O143" s="291"/>
      <c r="P143" s="291"/>
      <c r="Q143" s="291"/>
    </row>
    <row r="144" spans="1:17">
      <c r="A144" s="910"/>
      <c r="B144" s="930">
        <v>131</v>
      </c>
      <c r="C144" s="931">
        <f t="shared" si="15"/>
        <v>57644.341496741807</v>
      </c>
      <c r="D144" s="931">
        <f t="shared" si="14"/>
        <v>51971.349182131846</v>
      </c>
      <c r="E144" s="931">
        <f t="shared" si="16"/>
        <v>17684749.111353807</v>
      </c>
      <c r="F144" s="935"/>
      <c r="G144" s="293"/>
      <c r="H144" s="930">
        <v>130</v>
      </c>
      <c r="I144" s="930">
        <f t="shared" si="13"/>
        <v>165</v>
      </c>
      <c r="J144" s="931">
        <f t="shared" ref="J144:J207" si="18">IF(L143&lt;0.01,0,L143*$I$5/12)</f>
        <v>163411.42825748041</v>
      </c>
      <c r="K144" s="931">
        <f t="shared" si="17"/>
        <v>63649.839001811488</v>
      </c>
      <c r="L144" s="933">
        <f t="shared" ref="L144:L207" si="19">IF(L143&lt;0.01,0,L143-K144)</f>
        <v>32618635.812494271</v>
      </c>
      <c r="M144" s="291"/>
      <c r="N144" s="291"/>
      <c r="O144" s="291"/>
      <c r="P144" s="291"/>
      <c r="Q144" s="291"/>
    </row>
    <row r="145" spans="1:17">
      <c r="A145" s="929">
        <v>12</v>
      </c>
      <c r="B145" s="930">
        <v>132</v>
      </c>
      <c r="C145" s="931">
        <f t="shared" si="15"/>
        <v>57475.434611899873</v>
      </c>
      <c r="D145" s="931">
        <f t="shared" si="14"/>
        <v>52140.25606697378</v>
      </c>
      <c r="E145" s="931">
        <f t="shared" si="16"/>
        <v>17632608.855286833</v>
      </c>
      <c r="F145" s="291"/>
      <c r="G145" s="293"/>
      <c r="H145" s="930">
        <v>131</v>
      </c>
      <c r="I145" s="930">
        <f t="shared" ref="I145:I208" si="20">I144+1</f>
        <v>166</v>
      </c>
      <c r="J145" s="931">
        <f t="shared" si="18"/>
        <v>163093.17906247135</v>
      </c>
      <c r="K145" s="931">
        <f t="shared" si="17"/>
        <v>63968.08819682055</v>
      </c>
      <c r="L145" s="933">
        <f t="shared" si="19"/>
        <v>32554667.724297449</v>
      </c>
      <c r="M145" s="291"/>
      <c r="N145" s="291"/>
      <c r="O145" s="291"/>
      <c r="P145" s="291"/>
      <c r="Q145" s="291"/>
    </row>
    <row r="146" spans="1:17">
      <c r="A146" s="910"/>
      <c r="B146" s="930">
        <v>133</v>
      </c>
      <c r="C146" s="931">
        <f t="shared" si="15"/>
        <v>57305.978779682213</v>
      </c>
      <c r="D146" s="931">
        <f t="shared" si="14"/>
        <v>52309.711899191439</v>
      </c>
      <c r="E146" s="931">
        <f t="shared" si="16"/>
        <v>17580299.143387642</v>
      </c>
      <c r="F146" s="291"/>
      <c r="G146" s="293"/>
      <c r="H146" s="930">
        <v>132</v>
      </c>
      <c r="I146" s="930">
        <f t="shared" si="20"/>
        <v>167</v>
      </c>
      <c r="J146" s="931">
        <f t="shared" si="18"/>
        <v>162773.33862148723</v>
      </c>
      <c r="K146" s="931">
        <f t="shared" si="17"/>
        <v>64287.928637804667</v>
      </c>
      <c r="L146" s="933">
        <f t="shared" si="19"/>
        <v>32490379.795659643</v>
      </c>
      <c r="M146" s="291"/>
      <c r="N146" s="291"/>
      <c r="O146" s="291"/>
      <c r="P146" s="291"/>
      <c r="Q146" s="291"/>
    </row>
    <row r="147" spans="1:17">
      <c r="A147" s="910"/>
      <c r="B147" s="930">
        <v>134</v>
      </c>
      <c r="C147" s="931">
        <f t="shared" si="15"/>
        <v>57135.972216009832</v>
      </c>
      <c r="D147" s="931">
        <f t="shared" si="14"/>
        <v>52479.718462863821</v>
      </c>
      <c r="E147" s="931">
        <f t="shared" si="16"/>
        <v>17527819.42492478</v>
      </c>
      <c r="F147" s="291"/>
      <c r="G147" s="293"/>
      <c r="H147" s="930">
        <v>133</v>
      </c>
      <c r="I147" s="930">
        <f t="shared" si="20"/>
        <v>168</v>
      </c>
      <c r="J147" s="931">
        <f t="shared" si="18"/>
        <v>162451.89897829821</v>
      </c>
      <c r="K147" s="931">
        <f t="shared" si="17"/>
        <v>64609.368280993687</v>
      </c>
      <c r="L147" s="933">
        <f t="shared" si="19"/>
        <v>32425770.427378651</v>
      </c>
      <c r="M147" s="291"/>
      <c r="N147" s="291"/>
      <c r="O147" s="291"/>
      <c r="P147" s="291"/>
      <c r="Q147" s="291"/>
    </row>
    <row r="148" spans="1:17">
      <c r="A148" s="910"/>
      <c r="B148" s="930">
        <v>135</v>
      </c>
      <c r="C148" s="931">
        <f t="shared" si="15"/>
        <v>56965.413131005538</v>
      </c>
      <c r="D148" s="931">
        <f t="shared" si="14"/>
        <v>52650.277547868114</v>
      </c>
      <c r="E148" s="931">
        <f t="shared" si="16"/>
        <v>17475169.14737691</v>
      </c>
      <c r="F148" s="291"/>
      <c r="G148" s="293"/>
      <c r="H148" s="930">
        <v>134</v>
      </c>
      <c r="I148" s="930">
        <f t="shared" si="20"/>
        <v>169</v>
      </c>
      <c r="J148" s="931">
        <f t="shared" si="18"/>
        <v>162128.85213689326</v>
      </c>
      <c r="K148" s="931">
        <f t="shared" si="17"/>
        <v>64932.415122398641</v>
      </c>
      <c r="L148" s="933">
        <f t="shared" si="19"/>
        <v>32360838.012256254</v>
      </c>
      <c r="M148" s="291"/>
      <c r="N148" s="291"/>
      <c r="O148" s="291"/>
      <c r="P148" s="291"/>
      <c r="Q148" s="291"/>
    </row>
    <row r="149" spans="1:17">
      <c r="A149" s="910"/>
      <c r="B149" s="930">
        <v>136</v>
      </c>
      <c r="C149" s="931">
        <f t="shared" si="15"/>
        <v>56794.299728974955</v>
      </c>
      <c r="D149" s="931">
        <f t="shared" si="14"/>
        <v>52821.390949898698</v>
      </c>
      <c r="E149" s="931">
        <f t="shared" si="16"/>
        <v>17422347.756427012</v>
      </c>
      <c r="F149" s="291"/>
      <c r="G149" s="293"/>
      <c r="H149" s="930">
        <v>135</v>
      </c>
      <c r="I149" s="930">
        <f t="shared" si="20"/>
        <v>170</v>
      </c>
      <c r="J149" s="931">
        <f t="shared" si="18"/>
        <v>161804.19006128126</v>
      </c>
      <c r="K149" s="931">
        <f t="shared" si="17"/>
        <v>65257.077198010636</v>
      </c>
      <c r="L149" s="933">
        <f t="shared" si="19"/>
        <v>32295580.935058244</v>
      </c>
      <c r="M149" s="291"/>
      <c r="N149" s="291"/>
      <c r="O149" s="291"/>
      <c r="P149" s="291"/>
      <c r="Q149" s="291"/>
    </row>
    <row r="150" spans="1:17">
      <c r="A150" s="910"/>
      <c r="B150" s="930">
        <v>137</v>
      </c>
      <c r="C150" s="931">
        <f t="shared" si="15"/>
        <v>56622.630208387789</v>
      </c>
      <c r="D150" s="931">
        <f t="shared" si="14"/>
        <v>52993.060470485863</v>
      </c>
      <c r="E150" s="931">
        <f t="shared" si="16"/>
        <v>17369354.695956528</v>
      </c>
      <c r="F150" s="291"/>
      <c r="G150" s="293"/>
      <c r="H150" s="930">
        <v>136</v>
      </c>
      <c r="I150" s="930">
        <f t="shared" si="20"/>
        <v>171</v>
      </c>
      <c r="J150" s="931">
        <f t="shared" si="18"/>
        <v>161477.90467529121</v>
      </c>
      <c r="K150" s="931">
        <f t="shared" si="17"/>
        <v>65583.362584000686</v>
      </c>
      <c r="L150" s="933">
        <f t="shared" si="19"/>
        <v>32229997.572474241</v>
      </c>
      <c r="M150" s="291"/>
      <c r="N150" s="291"/>
      <c r="O150" s="291"/>
      <c r="P150" s="291"/>
      <c r="Q150" s="291"/>
    </row>
    <row r="151" spans="1:17">
      <c r="A151" s="910"/>
      <c r="B151" s="930">
        <v>138</v>
      </c>
      <c r="C151" s="931">
        <f t="shared" si="15"/>
        <v>56450.402761858713</v>
      </c>
      <c r="D151" s="931">
        <f t="shared" si="14"/>
        <v>53165.287917014939</v>
      </c>
      <c r="E151" s="931">
        <f t="shared" si="16"/>
        <v>17316189.408039514</v>
      </c>
      <c r="F151" s="291"/>
      <c r="G151" s="293"/>
      <c r="H151" s="930">
        <v>137</v>
      </c>
      <c r="I151" s="930">
        <f t="shared" si="20"/>
        <v>172</v>
      </c>
      <c r="J151" s="931">
        <f t="shared" si="18"/>
        <v>161149.9878623712</v>
      </c>
      <c r="K151" s="931">
        <f t="shared" si="17"/>
        <v>65911.279396920698</v>
      </c>
      <c r="L151" s="933">
        <f t="shared" si="19"/>
        <v>32164086.29307732</v>
      </c>
      <c r="M151" s="291"/>
      <c r="N151" s="291"/>
      <c r="O151" s="291"/>
      <c r="P151" s="291"/>
      <c r="Q151" s="291"/>
    </row>
    <row r="152" spans="1:17">
      <c r="A152" s="910"/>
      <c r="B152" s="930">
        <v>139</v>
      </c>
      <c r="C152" s="931">
        <f t="shared" si="15"/>
        <v>56277.615576128417</v>
      </c>
      <c r="D152" s="931">
        <f t="shared" si="14"/>
        <v>53338.075102745235</v>
      </c>
      <c r="E152" s="931">
        <f t="shared" si="16"/>
        <v>17262851.332936767</v>
      </c>
      <c r="F152" s="291"/>
      <c r="G152" s="293"/>
      <c r="H152" s="930">
        <v>138</v>
      </c>
      <c r="I152" s="930">
        <f t="shared" si="20"/>
        <v>173</v>
      </c>
      <c r="J152" s="931">
        <f t="shared" si="18"/>
        <v>160820.43146538659</v>
      </c>
      <c r="K152" s="931">
        <f t="shared" si="17"/>
        <v>66240.835793905309</v>
      </c>
      <c r="L152" s="933">
        <f t="shared" si="19"/>
        <v>32097845.457283415</v>
      </c>
      <c r="M152" s="291"/>
      <c r="N152" s="291"/>
      <c r="O152" s="291"/>
      <c r="P152" s="291"/>
      <c r="Q152" s="291"/>
    </row>
    <row r="153" spans="1:17">
      <c r="A153" s="910"/>
      <c r="B153" s="930">
        <v>140</v>
      </c>
      <c r="C153" s="931">
        <f t="shared" si="15"/>
        <v>56104.266832044494</v>
      </c>
      <c r="D153" s="931">
        <f t="shared" si="14"/>
        <v>53511.423846829159</v>
      </c>
      <c r="E153" s="931">
        <f t="shared" si="16"/>
        <v>17209339.909089938</v>
      </c>
      <c r="F153" s="291"/>
      <c r="G153" s="293"/>
      <c r="H153" s="930">
        <v>139</v>
      </c>
      <c r="I153" s="930">
        <f t="shared" si="20"/>
        <v>174</v>
      </c>
      <c r="J153" s="931">
        <f t="shared" si="18"/>
        <v>160489.22728641707</v>
      </c>
      <c r="K153" s="931">
        <f t="shared" si="17"/>
        <v>66572.039972874831</v>
      </c>
      <c r="L153" s="933">
        <f t="shared" si="19"/>
        <v>32031273.41731054</v>
      </c>
      <c r="M153" s="291"/>
      <c r="N153" s="291"/>
      <c r="O153" s="291"/>
      <c r="P153" s="291"/>
      <c r="Q153" s="291"/>
    </row>
    <row r="154" spans="1:17">
      <c r="A154" s="910"/>
      <c r="B154" s="930">
        <v>141</v>
      </c>
      <c r="C154" s="931">
        <f t="shared" si="15"/>
        <v>55930.354704542297</v>
      </c>
      <c r="D154" s="931">
        <f t="shared" si="14"/>
        <v>53685.335974331356</v>
      </c>
      <c r="E154" s="931">
        <f t="shared" si="16"/>
        <v>17155654.573115606</v>
      </c>
      <c r="F154" s="291"/>
      <c r="G154" s="293"/>
      <c r="H154" s="930">
        <v>140</v>
      </c>
      <c r="I154" s="930">
        <f t="shared" si="20"/>
        <v>175</v>
      </c>
      <c r="J154" s="931">
        <f t="shared" si="18"/>
        <v>160156.36708655269</v>
      </c>
      <c r="K154" s="931">
        <f t="shared" si="17"/>
        <v>66904.900172739202</v>
      </c>
      <c r="L154" s="933">
        <f t="shared" si="19"/>
        <v>31964368.517137799</v>
      </c>
      <c r="M154" s="291"/>
      <c r="N154" s="291"/>
      <c r="O154" s="291"/>
      <c r="P154" s="291"/>
      <c r="Q154" s="291"/>
    </row>
    <row r="155" spans="1:17">
      <c r="A155" s="910"/>
      <c r="B155" s="930">
        <v>142</v>
      </c>
      <c r="C155" s="931">
        <f t="shared" si="15"/>
        <v>55755.877362625724</v>
      </c>
      <c r="D155" s="931">
        <f t="shared" si="14"/>
        <v>53859.813316247928</v>
      </c>
      <c r="E155" s="931">
        <f t="shared" si="16"/>
        <v>17101794.759799358</v>
      </c>
      <c r="F155" s="291"/>
      <c r="G155" s="293"/>
      <c r="H155" s="930">
        <v>141</v>
      </c>
      <c r="I155" s="930">
        <f t="shared" si="20"/>
        <v>176</v>
      </c>
      <c r="J155" s="931">
        <f t="shared" si="18"/>
        <v>159821.84258568901</v>
      </c>
      <c r="K155" s="931">
        <f t="shared" si="17"/>
        <v>67239.424673602887</v>
      </c>
      <c r="L155" s="933">
        <f t="shared" si="19"/>
        <v>31897129.092464197</v>
      </c>
      <c r="M155" s="291"/>
      <c r="N155" s="291"/>
      <c r="O155" s="291"/>
      <c r="P155" s="291"/>
      <c r="Q155" s="291"/>
    </row>
    <row r="156" spans="1:17">
      <c r="A156" s="910"/>
      <c r="B156" s="930">
        <v>143</v>
      </c>
      <c r="C156" s="931">
        <f t="shared" si="15"/>
        <v>55580.83296934791</v>
      </c>
      <c r="D156" s="931">
        <f t="shared" si="14"/>
        <v>54034.857709525742</v>
      </c>
      <c r="E156" s="931">
        <f t="shared" si="16"/>
        <v>17047759.90208983</v>
      </c>
      <c r="F156" s="291"/>
      <c r="G156" s="293"/>
      <c r="H156" s="930">
        <v>142</v>
      </c>
      <c r="I156" s="930">
        <f t="shared" si="20"/>
        <v>177</v>
      </c>
      <c r="J156" s="931">
        <f t="shared" si="18"/>
        <v>159485.64546232097</v>
      </c>
      <c r="K156" s="931">
        <f t="shared" si="17"/>
        <v>67575.621796970925</v>
      </c>
      <c r="L156" s="933">
        <f t="shared" si="19"/>
        <v>31829553.470667228</v>
      </c>
      <c r="M156" s="291"/>
      <c r="N156" s="291"/>
      <c r="O156" s="291"/>
      <c r="P156" s="291"/>
      <c r="Q156" s="291"/>
    </row>
    <row r="157" spans="1:17">
      <c r="A157" s="929">
        <v>13</v>
      </c>
      <c r="B157" s="930">
        <v>144</v>
      </c>
      <c r="C157" s="931">
        <f t="shared" si="15"/>
        <v>55405.219681791954</v>
      </c>
      <c r="D157" s="931">
        <f t="shared" si="14"/>
        <v>54210.470997081698</v>
      </c>
      <c r="E157" s="931">
        <f t="shared" si="16"/>
        <v>16993549.43109275</v>
      </c>
      <c r="F157" s="291"/>
      <c r="G157" s="293"/>
      <c r="H157" s="930">
        <v>143</v>
      </c>
      <c r="I157" s="930">
        <f t="shared" si="20"/>
        <v>178</v>
      </c>
      <c r="J157" s="931">
        <f t="shared" si="18"/>
        <v>159147.76735333612</v>
      </c>
      <c r="K157" s="931">
        <f t="shared" si="17"/>
        <v>67913.499905955774</v>
      </c>
      <c r="L157" s="933">
        <f t="shared" si="19"/>
        <v>31761639.970761273</v>
      </c>
      <c r="M157" s="291"/>
      <c r="N157" s="291"/>
      <c r="O157" s="291"/>
      <c r="P157" s="291"/>
      <c r="Q157" s="291"/>
    </row>
    <row r="158" spans="1:17">
      <c r="A158" s="910"/>
      <c r="B158" s="930">
        <v>145</v>
      </c>
      <c r="C158" s="931">
        <f t="shared" si="15"/>
        <v>55229.035651051439</v>
      </c>
      <c r="D158" s="931">
        <f t="shared" si="14"/>
        <v>54386.655027822213</v>
      </c>
      <c r="E158" s="931">
        <f t="shared" si="16"/>
        <v>16939162.776064929</v>
      </c>
      <c r="F158" s="291"/>
      <c r="G158" s="293"/>
      <c r="H158" s="930">
        <v>144</v>
      </c>
      <c r="I158" s="930">
        <f t="shared" si="20"/>
        <v>179</v>
      </c>
      <c r="J158" s="931">
        <f t="shared" si="18"/>
        <v>158808.19985380638</v>
      </c>
      <c r="K158" s="931">
        <f t="shared" si="17"/>
        <v>68253.067405485519</v>
      </c>
      <c r="L158" s="933">
        <f t="shared" si="19"/>
        <v>31693386.903355788</v>
      </c>
      <c r="M158" s="291"/>
      <c r="N158" s="291"/>
      <c r="O158" s="291"/>
      <c r="P158" s="291"/>
      <c r="Q158" s="291"/>
    </row>
    <row r="159" spans="1:17">
      <c r="A159" s="910"/>
      <c r="B159" s="930">
        <v>146</v>
      </c>
      <c r="C159" s="931">
        <f t="shared" si="15"/>
        <v>55052.279022211012</v>
      </c>
      <c r="D159" s="931">
        <f t="shared" si="14"/>
        <v>54563.41165666264</v>
      </c>
      <c r="E159" s="931">
        <f t="shared" si="16"/>
        <v>16884599.364408266</v>
      </c>
      <c r="F159" s="291"/>
      <c r="G159" s="293"/>
      <c r="H159" s="930">
        <v>145</v>
      </c>
      <c r="I159" s="930">
        <f t="shared" si="20"/>
        <v>180</v>
      </c>
      <c r="J159" s="931">
        <f t="shared" si="18"/>
        <v>158466.93451677894</v>
      </c>
      <c r="K159" s="931">
        <f t="shared" si="17"/>
        <v>68594.332742512954</v>
      </c>
      <c r="L159" s="933">
        <f t="shared" si="19"/>
        <v>31624792.570613276</v>
      </c>
      <c r="M159" s="291"/>
      <c r="N159" s="291"/>
      <c r="O159" s="291"/>
      <c r="P159" s="291"/>
      <c r="Q159" s="291"/>
    </row>
    <row r="160" spans="1:17">
      <c r="A160" s="910"/>
      <c r="B160" s="930">
        <v>147</v>
      </c>
      <c r="C160" s="931">
        <f t="shared" si="15"/>
        <v>54874.947934326861</v>
      </c>
      <c r="D160" s="931">
        <f t="shared" si="14"/>
        <v>54740.742744546791</v>
      </c>
      <c r="E160" s="931">
        <f t="shared" si="16"/>
        <v>16829858.621663719</v>
      </c>
      <c r="F160" s="291"/>
      <c r="G160" s="293"/>
      <c r="H160" s="930">
        <v>146</v>
      </c>
      <c r="I160" s="930">
        <f t="shared" si="20"/>
        <v>181</v>
      </c>
      <c r="J160" s="931">
        <f t="shared" si="18"/>
        <v>158123.96285306636</v>
      </c>
      <c r="K160" s="931">
        <f t="shared" si="17"/>
        <v>68937.304406225536</v>
      </c>
      <c r="L160" s="933">
        <f t="shared" si="19"/>
        <v>31555855.266207051</v>
      </c>
      <c r="M160" s="291"/>
      <c r="N160" s="291"/>
      <c r="O160" s="291"/>
      <c r="P160" s="291"/>
      <c r="Q160" s="291"/>
    </row>
    <row r="161" spans="1:17">
      <c r="A161" s="910"/>
      <c r="B161" s="930">
        <v>148</v>
      </c>
      <c r="C161" s="931">
        <f t="shared" si="15"/>
        <v>54697.040520407085</v>
      </c>
      <c r="D161" s="931">
        <f t="shared" si="14"/>
        <v>54918.650158466568</v>
      </c>
      <c r="E161" s="931">
        <f t="shared" si="16"/>
        <v>16774939.971505253</v>
      </c>
      <c r="F161" s="291"/>
      <c r="G161" s="293"/>
      <c r="H161" s="930">
        <v>147</v>
      </c>
      <c r="I161" s="930">
        <f t="shared" si="20"/>
        <v>182</v>
      </c>
      <c r="J161" s="931">
        <f t="shared" si="18"/>
        <v>157779.27633103525</v>
      </c>
      <c r="K161" s="931">
        <f t="shared" si="17"/>
        <v>69281.990928256651</v>
      </c>
      <c r="L161" s="933">
        <f t="shared" si="19"/>
        <v>31486573.275278796</v>
      </c>
      <c r="M161" s="291"/>
      <c r="N161" s="291"/>
      <c r="O161" s="291"/>
      <c r="P161" s="291"/>
      <c r="Q161" s="291"/>
    </row>
    <row r="162" spans="1:17">
      <c r="A162" s="910"/>
      <c r="B162" s="930">
        <v>149</v>
      </c>
      <c r="C162" s="931">
        <f t="shared" si="15"/>
        <v>54518.55490739207</v>
      </c>
      <c r="D162" s="931">
        <f t="shared" si="14"/>
        <v>55097.135771481582</v>
      </c>
      <c r="E162" s="931">
        <f t="shared" si="16"/>
        <v>16719842.835733771</v>
      </c>
      <c r="F162" s="291"/>
      <c r="G162" s="293"/>
      <c r="H162" s="930">
        <v>148</v>
      </c>
      <c r="I162" s="930">
        <f t="shared" si="20"/>
        <v>183</v>
      </c>
      <c r="J162" s="931">
        <f t="shared" si="18"/>
        <v>157432.86637639397</v>
      </c>
      <c r="K162" s="931">
        <f t="shared" si="17"/>
        <v>69628.400882897928</v>
      </c>
      <c r="L162" s="933">
        <f t="shared" si="19"/>
        <v>31416944.874395896</v>
      </c>
      <c r="M162" s="291"/>
      <c r="N162" s="291"/>
      <c r="O162" s="291"/>
      <c r="P162" s="291"/>
      <c r="Q162" s="291"/>
    </row>
    <row r="163" spans="1:17">
      <c r="A163" s="910"/>
      <c r="B163" s="930">
        <v>150</v>
      </c>
      <c r="C163" s="931">
        <f t="shared" si="15"/>
        <v>54339.48921613476</v>
      </c>
      <c r="D163" s="931">
        <f t="shared" si="14"/>
        <v>55276.201462738893</v>
      </c>
      <c r="E163" s="931">
        <f t="shared" si="16"/>
        <v>16664566.634271033</v>
      </c>
      <c r="F163" s="291"/>
      <c r="G163" s="293"/>
      <c r="H163" s="930">
        <v>149</v>
      </c>
      <c r="I163" s="930">
        <f t="shared" si="20"/>
        <v>184</v>
      </c>
      <c r="J163" s="931">
        <f t="shared" si="18"/>
        <v>157084.72437197948</v>
      </c>
      <c r="K163" s="931">
        <f t="shared" si="17"/>
        <v>69976.542887312418</v>
      </c>
      <c r="L163" s="933">
        <f t="shared" si="19"/>
        <v>31346968.331508584</v>
      </c>
      <c r="M163" s="291"/>
      <c r="N163" s="291"/>
      <c r="O163" s="291"/>
      <c r="P163" s="291"/>
      <c r="Q163" s="291"/>
    </row>
    <row r="164" spans="1:17">
      <c r="A164" s="910"/>
      <c r="B164" s="930">
        <v>151</v>
      </c>
      <c r="C164" s="931">
        <f t="shared" si="15"/>
        <v>54159.841561380861</v>
      </c>
      <c r="D164" s="931">
        <f t="shared" si="14"/>
        <v>55455.849117492791</v>
      </c>
      <c r="E164" s="931">
        <f t="shared" si="16"/>
        <v>16609110.78515354</v>
      </c>
      <c r="F164" s="291"/>
      <c r="G164" s="293"/>
      <c r="H164" s="930">
        <v>150</v>
      </c>
      <c r="I164" s="930">
        <f t="shared" si="20"/>
        <v>185</v>
      </c>
      <c r="J164" s="931">
        <f t="shared" si="18"/>
        <v>156734.84165754291</v>
      </c>
      <c r="K164" s="931">
        <f t="shared" si="17"/>
        <v>70326.425601748982</v>
      </c>
      <c r="L164" s="933">
        <f t="shared" si="19"/>
        <v>31276641.905906834</v>
      </c>
      <c r="M164" s="291"/>
      <c r="N164" s="291"/>
      <c r="O164" s="291"/>
      <c r="P164" s="291"/>
      <c r="Q164" s="291"/>
    </row>
    <row r="165" spans="1:17">
      <c r="A165" s="910"/>
      <c r="B165" s="930">
        <v>152</v>
      </c>
      <c r="C165" s="931">
        <f t="shared" si="15"/>
        <v>53979.610051749005</v>
      </c>
      <c r="D165" s="931">
        <f t="shared" si="14"/>
        <v>55636.080627124647</v>
      </c>
      <c r="E165" s="931">
        <f t="shared" si="16"/>
        <v>16553474.704526415</v>
      </c>
      <c r="F165" s="291"/>
      <c r="G165" s="293"/>
      <c r="H165" s="930">
        <v>151</v>
      </c>
      <c r="I165" s="930">
        <f t="shared" si="20"/>
        <v>186</v>
      </c>
      <c r="J165" s="931">
        <f t="shared" si="18"/>
        <v>156383.20952953416</v>
      </c>
      <c r="K165" s="931">
        <f t="shared" si="17"/>
        <v>70678.05772975774</v>
      </c>
      <c r="L165" s="933">
        <f t="shared" si="19"/>
        <v>31205963.848177075</v>
      </c>
      <c r="M165" s="291"/>
      <c r="N165" s="291"/>
      <c r="O165" s="291"/>
      <c r="P165" s="291"/>
      <c r="Q165" s="291"/>
    </row>
    <row r="166" spans="1:17">
      <c r="A166" s="910"/>
      <c r="B166" s="930">
        <v>153</v>
      </c>
      <c r="C166" s="931">
        <f t="shared" si="15"/>
        <v>53798.792789710853</v>
      </c>
      <c r="D166" s="931">
        <f t="shared" si="14"/>
        <v>55816.897889162799</v>
      </c>
      <c r="E166" s="931">
        <f t="shared" si="16"/>
        <v>16497657.806637252</v>
      </c>
      <c r="F166" s="291"/>
      <c r="G166" s="293"/>
      <c r="H166" s="930">
        <v>152</v>
      </c>
      <c r="I166" s="930">
        <f t="shared" si="20"/>
        <v>187</v>
      </c>
      <c r="J166" s="931">
        <f t="shared" si="18"/>
        <v>156029.81924088538</v>
      </c>
      <c r="K166" s="931">
        <f t="shared" si="17"/>
        <v>71031.448018406518</v>
      </c>
      <c r="L166" s="933">
        <f t="shared" si="19"/>
        <v>31134932.40015867</v>
      </c>
      <c r="M166" s="291"/>
      <c r="N166" s="291"/>
      <c r="O166" s="291"/>
      <c r="P166" s="291"/>
      <c r="Q166" s="291"/>
    </row>
    <row r="167" spans="1:17">
      <c r="A167" s="910"/>
      <c r="B167" s="930">
        <v>154</v>
      </c>
      <c r="C167" s="931">
        <f t="shared" si="15"/>
        <v>53617.387871571067</v>
      </c>
      <c r="D167" s="931">
        <f t="shared" si="14"/>
        <v>55998.302807302585</v>
      </c>
      <c r="E167" s="931">
        <f t="shared" si="16"/>
        <v>16441659.503829949</v>
      </c>
      <c r="F167" s="291"/>
      <c r="G167" s="293"/>
      <c r="H167" s="930">
        <v>153</v>
      </c>
      <c r="I167" s="930">
        <f t="shared" si="20"/>
        <v>188</v>
      </c>
      <c r="J167" s="931">
        <f t="shared" si="18"/>
        <v>155674.66200079335</v>
      </c>
      <c r="K167" s="931">
        <f t="shared" si="17"/>
        <v>71386.605258498545</v>
      </c>
      <c r="L167" s="933">
        <f t="shared" si="19"/>
        <v>31063545.794900171</v>
      </c>
      <c r="M167" s="291"/>
      <c r="N167" s="291"/>
      <c r="O167" s="291"/>
      <c r="P167" s="291"/>
      <c r="Q167" s="291"/>
    </row>
    <row r="168" spans="1:17">
      <c r="A168" s="910"/>
      <c r="B168" s="930">
        <v>155</v>
      </c>
      <c r="C168" s="931">
        <f t="shared" si="15"/>
        <v>53435.393387447337</v>
      </c>
      <c r="D168" s="931">
        <f t="shared" si="14"/>
        <v>56180.297291426315</v>
      </c>
      <c r="E168" s="931">
        <f t="shared" si="16"/>
        <v>16385479.206538523</v>
      </c>
      <c r="F168" s="291"/>
      <c r="G168" s="293"/>
      <c r="H168" s="930">
        <v>154</v>
      </c>
      <c r="I168" s="930">
        <f t="shared" si="20"/>
        <v>189</v>
      </c>
      <c r="J168" s="931">
        <f t="shared" si="18"/>
        <v>155317.72897450085</v>
      </c>
      <c r="K168" s="931">
        <f t="shared" si="17"/>
        <v>71743.538284791051</v>
      </c>
      <c r="L168" s="933">
        <f t="shared" si="19"/>
        <v>30991802.256615382</v>
      </c>
      <c r="M168" s="291"/>
      <c r="N168" s="291"/>
      <c r="O168" s="291"/>
      <c r="P168" s="291"/>
      <c r="Q168" s="291"/>
    </row>
    <row r="169" spans="1:17">
      <c r="A169" s="929">
        <v>14</v>
      </c>
      <c r="B169" s="930">
        <v>156</v>
      </c>
      <c r="C169" s="931">
        <f t="shared" si="15"/>
        <v>53252.807421250203</v>
      </c>
      <c r="D169" s="931">
        <f t="shared" si="14"/>
        <v>56362.883257623449</v>
      </c>
      <c r="E169" s="931">
        <f t="shared" si="16"/>
        <v>16329116.323280899</v>
      </c>
      <c r="F169" s="291"/>
      <c r="G169" s="293"/>
      <c r="H169" s="930">
        <v>155</v>
      </c>
      <c r="I169" s="930">
        <f t="shared" si="20"/>
        <v>190</v>
      </c>
      <c r="J169" s="931">
        <f t="shared" si="18"/>
        <v>154959.01128307692</v>
      </c>
      <c r="K169" s="931">
        <f t="shared" si="17"/>
        <v>72102.255976214976</v>
      </c>
      <c r="L169" s="933">
        <f t="shared" si="19"/>
        <v>30919700.000639167</v>
      </c>
      <c r="M169" s="291"/>
      <c r="N169" s="291"/>
      <c r="O169" s="291"/>
      <c r="P169" s="291"/>
      <c r="Q169" s="291"/>
    </row>
    <row r="170" spans="1:17">
      <c r="A170" s="910"/>
      <c r="B170" s="930">
        <v>157</v>
      </c>
      <c r="C170" s="931">
        <f t="shared" si="15"/>
        <v>53069.628050662919</v>
      </c>
      <c r="D170" s="931">
        <f t="shared" si="14"/>
        <v>56546.062628210733</v>
      </c>
      <c r="E170" s="931">
        <f t="shared" si="16"/>
        <v>16272570.260652687</v>
      </c>
      <c r="F170" s="291"/>
      <c r="G170" s="293"/>
      <c r="H170" s="930">
        <v>156</v>
      </c>
      <c r="I170" s="930">
        <f t="shared" si="20"/>
        <v>191</v>
      </c>
      <c r="J170" s="931">
        <f t="shared" si="18"/>
        <v>154598.50000319583</v>
      </c>
      <c r="K170" s="931">
        <f t="shared" si="17"/>
        <v>72462.767256096064</v>
      </c>
      <c r="L170" s="933">
        <f t="shared" si="19"/>
        <v>30847237.233383071</v>
      </c>
      <c r="M170" s="291"/>
      <c r="N170" s="291"/>
      <c r="O170" s="291"/>
      <c r="P170" s="291"/>
      <c r="Q170" s="291"/>
    </row>
    <row r="171" spans="1:17">
      <c r="A171" s="910"/>
      <c r="B171" s="930">
        <v>158</v>
      </c>
      <c r="C171" s="931">
        <f t="shared" si="15"/>
        <v>52885.853347121236</v>
      </c>
      <c r="D171" s="931">
        <f t="shared" si="14"/>
        <v>56729.837331752417</v>
      </c>
      <c r="E171" s="931">
        <f t="shared" si="16"/>
        <v>16215840.423320934</v>
      </c>
      <c r="F171" s="291"/>
      <c r="G171" s="293"/>
      <c r="H171" s="930">
        <v>157</v>
      </c>
      <c r="I171" s="930">
        <f t="shared" si="20"/>
        <v>192</v>
      </c>
      <c r="J171" s="931">
        <f t="shared" si="18"/>
        <v>154236.18616691534</v>
      </c>
      <c r="K171" s="931">
        <f t="shared" si="17"/>
        <v>72825.081092376553</v>
      </c>
      <c r="L171" s="933">
        <f t="shared" si="19"/>
        <v>30774412.152290694</v>
      </c>
      <c r="M171" s="291"/>
      <c r="N171" s="291"/>
      <c r="O171" s="291"/>
      <c r="P171" s="291"/>
      <c r="Q171" s="291"/>
    </row>
    <row r="172" spans="1:17">
      <c r="A172" s="910"/>
      <c r="B172" s="930">
        <v>159</v>
      </c>
      <c r="C172" s="931">
        <f t="shared" si="15"/>
        <v>52701.481375793031</v>
      </c>
      <c r="D172" s="931">
        <f t="shared" si="14"/>
        <v>56914.209303080621</v>
      </c>
      <c r="E172" s="931">
        <f t="shared" si="16"/>
        <v>16158926.214017853</v>
      </c>
      <c r="F172" s="291"/>
      <c r="G172" s="293"/>
      <c r="H172" s="930">
        <v>158</v>
      </c>
      <c r="I172" s="930">
        <f t="shared" si="20"/>
        <v>193</v>
      </c>
      <c r="J172" s="931">
        <f t="shared" si="18"/>
        <v>153872.06076145347</v>
      </c>
      <c r="K172" s="931">
        <f t="shared" si="17"/>
        <v>73189.20649783843</v>
      </c>
      <c r="L172" s="933">
        <f t="shared" si="19"/>
        <v>30701222.945792858</v>
      </c>
      <c r="M172" s="291"/>
      <c r="N172" s="291"/>
      <c r="O172" s="291"/>
      <c r="P172" s="291"/>
      <c r="Q172" s="291"/>
    </row>
    <row r="173" spans="1:17">
      <c r="A173" s="910"/>
      <c r="B173" s="930">
        <v>160</v>
      </c>
      <c r="C173" s="931">
        <f t="shared" si="15"/>
        <v>52516.510195558025</v>
      </c>
      <c r="D173" s="931">
        <f t="shared" si="14"/>
        <v>57099.180483315627</v>
      </c>
      <c r="E173" s="931">
        <f t="shared" si="16"/>
        <v>16101827.033534538</v>
      </c>
      <c r="F173" s="291"/>
      <c r="G173" s="293"/>
      <c r="H173" s="930">
        <v>159</v>
      </c>
      <c r="I173" s="930">
        <f t="shared" si="20"/>
        <v>194</v>
      </c>
      <c r="J173" s="931">
        <f t="shared" si="18"/>
        <v>153506.11472896428</v>
      </c>
      <c r="K173" s="931">
        <f t="shared" si="17"/>
        <v>73555.152530327614</v>
      </c>
      <c r="L173" s="933">
        <f t="shared" si="19"/>
        <v>30627667.79326253</v>
      </c>
      <c r="M173" s="291"/>
      <c r="N173" s="291"/>
      <c r="O173" s="291"/>
      <c r="P173" s="291"/>
      <c r="Q173" s="291"/>
    </row>
    <row r="174" spans="1:17">
      <c r="A174" s="910"/>
      <c r="B174" s="930">
        <v>161</v>
      </c>
      <c r="C174" s="931">
        <f t="shared" si="15"/>
        <v>52330.93785898725</v>
      </c>
      <c r="D174" s="931">
        <f t="shared" si="14"/>
        <v>57284.752819886402</v>
      </c>
      <c r="E174" s="931">
        <f t="shared" si="16"/>
        <v>16044542.280714652</v>
      </c>
      <c r="F174" s="291"/>
      <c r="G174" s="293"/>
      <c r="H174" s="930">
        <v>160</v>
      </c>
      <c r="I174" s="930">
        <f t="shared" si="20"/>
        <v>195</v>
      </c>
      <c r="J174" s="931">
        <f t="shared" si="18"/>
        <v>153138.33896631264</v>
      </c>
      <c r="K174" s="931">
        <f t="shared" si="17"/>
        <v>73922.928292979253</v>
      </c>
      <c r="L174" s="933">
        <f t="shared" si="19"/>
        <v>30553744.864969552</v>
      </c>
      <c r="M174" s="291"/>
      <c r="N174" s="291"/>
      <c r="O174" s="291"/>
      <c r="P174" s="291"/>
      <c r="Q174" s="291"/>
    </row>
    <row r="175" spans="1:17">
      <c r="A175" s="910"/>
      <c r="B175" s="930">
        <v>162</v>
      </c>
      <c r="C175" s="931">
        <f t="shared" si="15"/>
        <v>52144.76241232262</v>
      </c>
      <c r="D175" s="931">
        <f t="shared" si="14"/>
        <v>57470.928266551033</v>
      </c>
      <c r="E175" s="931">
        <f t="shared" si="16"/>
        <v>15987071.3524481</v>
      </c>
      <c r="F175" s="291"/>
      <c r="G175" s="293"/>
      <c r="H175" s="930">
        <v>161</v>
      </c>
      <c r="I175" s="930">
        <f t="shared" si="20"/>
        <v>196</v>
      </c>
      <c r="J175" s="931">
        <f t="shared" si="18"/>
        <v>152768.72432484775</v>
      </c>
      <c r="K175" s="931">
        <f t="shared" si="17"/>
        <v>74292.542934444151</v>
      </c>
      <c r="L175" s="933">
        <f t="shared" si="19"/>
        <v>30479452.322035108</v>
      </c>
      <c r="M175" s="291"/>
      <c r="N175" s="291"/>
      <c r="O175" s="291"/>
      <c r="P175" s="291"/>
      <c r="Q175" s="291"/>
    </row>
    <row r="176" spans="1:17">
      <c r="A176" s="910"/>
      <c r="B176" s="930">
        <v>163</v>
      </c>
      <c r="C176" s="931">
        <f t="shared" si="15"/>
        <v>51957.981895456323</v>
      </c>
      <c r="D176" s="931">
        <f t="shared" si="14"/>
        <v>57657.708783417329</v>
      </c>
      <c r="E176" s="931">
        <f t="shared" si="16"/>
        <v>15929413.643664682</v>
      </c>
      <c r="F176" s="291"/>
      <c r="G176" s="293"/>
      <c r="H176" s="930">
        <v>162</v>
      </c>
      <c r="I176" s="930">
        <f t="shared" si="20"/>
        <v>197</v>
      </c>
      <c r="J176" s="931">
        <f t="shared" si="18"/>
        <v>152397.26161017554</v>
      </c>
      <c r="K176" s="931">
        <f t="shared" si="17"/>
        <v>74664.005649116356</v>
      </c>
      <c r="L176" s="933">
        <f t="shared" si="19"/>
        <v>30404788.316385992</v>
      </c>
      <c r="M176" s="291"/>
      <c r="N176" s="291"/>
      <c r="O176" s="291"/>
      <c r="P176" s="291"/>
      <c r="Q176" s="291"/>
    </row>
    <row r="177" spans="1:17">
      <c r="A177" s="910"/>
      <c r="B177" s="930">
        <v>164</v>
      </c>
      <c r="C177" s="931">
        <f t="shared" si="15"/>
        <v>51770.594341910219</v>
      </c>
      <c r="D177" s="931">
        <f t="shared" si="14"/>
        <v>57845.096336963434</v>
      </c>
      <c r="E177" s="931">
        <f t="shared" si="16"/>
        <v>15871568.54732772</v>
      </c>
      <c r="F177" s="291"/>
      <c r="G177" s="293"/>
      <c r="H177" s="930">
        <v>163</v>
      </c>
      <c r="I177" s="930">
        <f t="shared" si="20"/>
        <v>198</v>
      </c>
      <c r="J177" s="931">
        <f t="shared" si="18"/>
        <v>152023.94158192995</v>
      </c>
      <c r="K177" s="931">
        <f t="shared" si="17"/>
        <v>75037.325677361951</v>
      </c>
      <c r="L177" s="933">
        <f t="shared" si="19"/>
        <v>30329750.990708631</v>
      </c>
      <c r="M177" s="291"/>
      <c r="N177" s="291"/>
      <c r="O177" s="291"/>
      <c r="P177" s="291"/>
      <c r="Q177" s="291"/>
    </row>
    <row r="178" spans="1:17">
      <c r="A178" s="910"/>
      <c r="B178" s="930">
        <v>165</v>
      </c>
      <c r="C178" s="931">
        <f t="shared" si="15"/>
        <v>51582.597778815085</v>
      </c>
      <c r="D178" s="931">
        <f t="shared" si="14"/>
        <v>58033.092900058567</v>
      </c>
      <c r="E178" s="931">
        <f t="shared" si="16"/>
        <v>15813535.454427661</v>
      </c>
      <c r="F178" s="291"/>
      <c r="G178" s="293"/>
      <c r="H178" s="930">
        <v>164</v>
      </c>
      <c r="I178" s="930">
        <f t="shared" si="20"/>
        <v>199</v>
      </c>
      <c r="J178" s="931">
        <f t="shared" si="18"/>
        <v>151648.75495354316</v>
      </c>
      <c r="K178" s="931">
        <f t="shared" si="17"/>
        <v>75412.512305748736</v>
      </c>
      <c r="L178" s="933">
        <f t="shared" si="19"/>
        <v>30254338.478402883</v>
      </c>
      <c r="M178" s="291"/>
      <c r="N178" s="291"/>
      <c r="O178" s="291"/>
      <c r="P178" s="291"/>
      <c r="Q178" s="291"/>
    </row>
    <row r="179" spans="1:17">
      <c r="A179" s="910"/>
      <c r="B179" s="930">
        <v>166</v>
      </c>
      <c r="C179" s="931">
        <f t="shared" si="15"/>
        <v>51393.990226889902</v>
      </c>
      <c r="D179" s="931">
        <f t="shared" si="14"/>
        <v>58221.70045198375</v>
      </c>
      <c r="E179" s="931">
        <f t="shared" si="16"/>
        <v>15755313.753975678</v>
      </c>
      <c r="F179" s="291"/>
      <c r="G179" s="293"/>
      <c r="H179" s="930">
        <v>165</v>
      </c>
      <c r="I179" s="930">
        <f t="shared" si="20"/>
        <v>200</v>
      </c>
      <c r="J179" s="931">
        <f t="shared" si="18"/>
        <v>151271.6923920144</v>
      </c>
      <c r="K179" s="931">
        <f t="shared" si="17"/>
        <v>75789.574867277493</v>
      </c>
      <c r="L179" s="933">
        <f t="shared" si="19"/>
        <v>30178548.903535604</v>
      </c>
      <c r="M179" s="291"/>
      <c r="N179" s="291"/>
      <c r="O179" s="291"/>
      <c r="P179" s="291"/>
      <c r="Q179" s="291"/>
    </row>
    <row r="180" spans="1:17">
      <c r="A180" s="910"/>
      <c r="B180" s="930">
        <v>167</v>
      </c>
      <c r="C180" s="931">
        <f t="shared" si="15"/>
        <v>51204.769700420955</v>
      </c>
      <c r="D180" s="931">
        <f t="shared" si="14"/>
        <v>58410.920978452697</v>
      </c>
      <c r="E180" s="931">
        <f t="shared" si="16"/>
        <v>15696902.832997225</v>
      </c>
      <c r="F180" s="291"/>
      <c r="G180" s="293"/>
      <c r="H180" s="930">
        <v>166</v>
      </c>
      <c r="I180" s="930">
        <f t="shared" si="20"/>
        <v>201</v>
      </c>
      <c r="J180" s="931">
        <f t="shared" si="18"/>
        <v>150892.74451767802</v>
      </c>
      <c r="K180" s="931">
        <f t="shared" si="17"/>
        <v>76168.52274161388</v>
      </c>
      <c r="L180" s="933">
        <f t="shared" si="19"/>
        <v>30102380.380793992</v>
      </c>
      <c r="M180" s="291"/>
      <c r="N180" s="291"/>
      <c r="O180" s="291"/>
      <c r="P180" s="291"/>
      <c r="Q180" s="291"/>
    </row>
    <row r="181" spans="1:17">
      <c r="A181" s="929">
        <v>15</v>
      </c>
      <c r="B181" s="930">
        <v>168</v>
      </c>
      <c r="C181" s="931">
        <f t="shared" si="15"/>
        <v>51014.934207240985</v>
      </c>
      <c r="D181" s="931">
        <f t="shared" si="14"/>
        <v>58600.756471632667</v>
      </c>
      <c r="E181" s="931">
        <f t="shared" si="16"/>
        <v>15638302.076525593</v>
      </c>
      <c r="F181" s="291"/>
      <c r="G181" s="293"/>
      <c r="H181" s="930">
        <v>167</v>
      </c>
      <c r="I181" s="930">
        <f t="shared" si="20"/>
        <v>202</v>
      </c>
      <c r="J181" s="931">
        <f t="shared" si="18"/>
        <v>150511.90190396996</v>
      </c>
      <c r="K181" s="931">
        <f t="shared" si="17"/>
        <v>76549.365355321934</v>
      </c>
      <c r="L181" s="933">
        <f t="shared" si="19"/>
        <v>30025831.015438672</v>
      </c>
      <c r="M181" s="291"/>
      <c r="N181" s="291"/>
      <c r="O181" s="291"/>
      <c r="P181" s="291"/>
      <c r="Q181" s="291"/>
    </row>
    <row r="182" spans="1:17">
      <c r="A182" s="910"/>
      <c r="B182" s="930">
        <v>169</v>
      </c>
      <c r="C182" s="931">
        <f t="shared" si="15"/>
        <v>50824.481748708175</v>
      </c>
      <c r="D182" s="931">
        <f t="shared" si="14"/>
        <v>58791.208930165478</v>
      </c>
      <c r="E182" s="931">
        <f t="shared" si="16"/>
        <v>15579510.867595429</v>
      </c>
      <c r="F182" s="291"/>
      <c r="G182" s="293"/>
      <c r="H182" s="930">
        <v>168</v>
      </c>
      <c r="I182" s="930">
        <f t="shared" si="20"/>
        <v>203</v>
      </c>
      <c r="J182" s="931">
        <f t="shared" si="18"/>
        <v>150129.15507719337</v>
      </c>
      <c r="K182" s="931">
        <f t="shared" si="17"/>
        <v>76932.112182098528</v>
      </c>
      <c r="L182" s="933">
        <f t="shared" si="19"/>
        <v>29948898.903256573</v>
      </c>
      <c r="M182" s="291"/>
      <c r="N182" s="291"/>
      <c r="O182" s="291"/>
      <c r="P182" s="291"/>
      <c r="Q182" s="291"/>
    </row>
    <row r="183" spans="1:17">
      <c r="A183" s="910"/>
      <c r="B183" s="930">
        <v>170</v>
      </c>
      <c r="C183" s="931">
        <f t="shared" si="15"/>
        <v>50633.410319685143</v>
      </c>
      <c r="D183" s="931">
        <f t="shared" si="14"/>
        <v>58982.280359188509</v>
      </c>
      <c r="E183" s="931">
        <f t="shared" si="16"/>
        <v>15520528.587236241</v>
      </c>
      <c r="F183" s="291"/>
      <c r="G183" s="293"/>
      <c r="H183" s="930">
        <v>169</v>
      </c>
      <c r="I183" s="930">
        <f t="shared" si="20"/>
        <v>204</v>
      </c>
      <c r="J183" s="931">
        <f t="shared" si="18"/>
        <v>149744.49451628287</v>
      </c>
      <c r="K183" s="931">
        <f t="shared" si="17"/>
        <v>77316.772743009031</v>
      </c>
      <c r="L183" s="933">
        <f t="shared" si="19"/>
        <v>29871582.130513564</v>
      </c>
      <c r="M183" s="291"/>
      <c r="N183" s="291"/>
      <c r="O183" s="291"/>
      <c r="P183" s="291"/>
      <c r="Q183" s="291"/>
    </row>
    <row r="184" spans="1:17">
      <c r="A184" s="910"/>
      <c r="B184" s="930">
        <v>171</v>
      </c>
      <c r="C184" s="931">
        <f t="shared" si="15"/>
        <v>50441.717908517778</v>
      </c>
      <c r="D184" s="931">
        <f t="shared" si="14"/>
        <v>59173.972770355875</v>
      </c>
      <c r="E184" s="931">
        <f t="shared" si="16"/>
        <v>15461354.614465885</v>
      </c>
      <c r="F184" s="291"/>
      <c r="G184" s="293"/>
      <c r="H184" s="930">
        <v>170</v>
      </c>
      <c r="I184" s="930">
        <f t="shared" si="20"/>
        <v>205</v>
      </c>
      <c r="J184" s="931">
        <f t="shared" si="18"/>
        <v>149357.91065256781</v>
      </c>
      <c r="K184" s="931">
        <f t="shared" si="17"/>
        <v>77703.35660672409</v>
      </c>
      <c r="L184" s="933">
        <f t="shared" si="19"/>
        <v>29793878.773906838</v>
      </c>
      <c r="M184" s="291"/>
      <c r="N184" s="291"/>
      <c r="O184" s="291"/>
      <c r="P184" s="291"/>
      <c r="Q184" s="291"/>
    </row>
    <row r="185" spans="1:17">
      <c r="A185" s="910"/>
      <c r="B185" s="930">
        <v>172</v>
      </c>
      <c r="C185" s="931">
        <f t="shared" si="15"/>
        <v>50249.402497014125</v>
      </c>
      <c r="D185" s="931">
        <f t="shared" si="14"/>
        <v>59366.288181859527</v>
      </c>
      <c r="E185" s="931">
        <f t="shared" si="16"/>
        <v>15401988.326284025</v>
      </c>
      <c r="F185" s="291"/>
      <c r="G185" s="293"/>
      <c r="H185" s="930">
        <v>171</v>
      </c>
      <c r="I185" s="930">
        <f t="shared" si="20"/>
        <v>206</v>
      </c>
      <c r="J185" s="931">
        <f t="shared" si="18"/>
        <v>148969.39386953419</v>
      </c>
      <c r="K185" s="931">
        <f t="shared" si="17"/>
        <v>78091.873389757704</v>
      </c>
      <c r="L185" s="933">
        <f t="shared" si="19"/>
        <v>29715786.90051708</v>
      </c>
      <c r="M185" s="291"/>
      <c r="N185" s="291"/>
      <c r="O185" s="291"/>
      <c r="P185" s="291"/>
      <c r="Q185" s="291"/>
    </row>
    <row r="186" spans="1:17">
      <c r="A186" s="910"/>
      <c r="B186" s="930">
        <v>173</v>
      </c>
      <c r="C186" s="931">
        <f t="shared" si="15"/>
        <v>50056.46206042308</v>
      </c>
      <c r="D186" s="931">
        <f t="shared" si="14"/>
        <v>59559.228618450572</v>
      </c>
      <c r="E186" s="931">
        <f t="shared" si="16"/>
        <v>15342429.097665574</v>
      </c>
      <c r="F186" s="291"/>
      <c r="G186" s="293"/>
      <c r="H186" s="930">
        <v>172</v>
      </c>
      <c r="I186" s="930">
        <f t="shared" si="20"/>
        <v>207</v>
      </c>
      <c r="J186" s="931">
        <f t="shared" si="18"/>
        <v>148578.93450258541</v>
      </c>
      <c r="K186" s="931">
        <f t="shared" si="17"/>
        <v>78482.332756706484</v>
      </c>
      <c r="L186" s="933">
        <f t="shared" si="19"/>
        <v>29637304.567760374</v>
      </c>
      <c r="M186" s="291"/>
      <c r="N186" s="291"/>
      <c r="O186" s="291"/>
      <c r="P186" s="291"/>
      <c r="Q186" s="291"/>
    </row>
    <row r="187" spans="1:17">
      <c r="A187" s="910"/>
      <c r="B187" s="930">
        <v>174</v>
      </c>
      <c r="C187" s="931">
        <f t="shared" si="15"/>
        <v>49862.894567413117</v>
      </c>
      <c r="D187" s="931">
        <f t="shared" si="14"/>
        <v>59752.796111460535</v>
      </c>
      <c r="E187" s="931">
        <f t="shared" si="16"/>
        <v>15282676.301554114</v>
      </c>
      <c r="F187" s="291"/>
      <c r="G187" s="293"/>
      <c r="H187" s="930">
        <v>173</v>
      </c>
      <c r="I187" s="930">
        <f t="shared" si="20"/>
        <v>208</v>
      </c>
      <c r="J187" s="931">
        <f t="shared" si="18"/>
        <v>148186.52283880187</v>
      </c>
      <c r="K187" s="931">
        <f t="shared" si="17"/>
        <v>78874.744420490024</v>
      </c>
      <c r="L187" s="933">
        <f t="shared" si="19"/>
        <v>29558429.823339883</v>
      </c>
      <c r="M187" s="291"/>
      <c r="N187" s="291"/>
      <c r="O187" s="291"/>
      <c r="P187" s="291"/>
      <c r="Q187" s="291"/>
    </row>
    <row r="188" spans="1:17">
      <c r="A188" s="910"/>
      <c r="B188" s="930">
        <v>175</v>
      </c>
      <c r="C188" s="931">
        <f t="shared" si="15"/>
        <v>49668.697980050871</v>
      </c>
      <c r="D188" s="931">
        <f t="shared" si="14"/>
        <v>59946.992698822782</v>
      </c>
      <c r="E188" s="931">
        <f t="shared" si="16"/>
        <v>15222729.308855291</v>
      </c>
      <c r="F188" s="291"/>
      <c r="G188" s="293"/>
      <c r="H188" s="930">
        <v>174</v>
      </c>
      <c r="I188" s="930">
        <f t="shared" si="20"/>
        <v>209</v>
      </c>
      <c r="J188" s="931">
        <f t="shared" si="18"/>
        <v>147792.14911669941</v>
      </c>
      <c r="K188" s="931">
        <f t="shared" si="17"/>
        <v>79269.118142592488</v>
      </c>
      <c r="L188" s="933">
        <f t="shared" si="19"/>
        <v>29479160.70519729</v>
      </c>
      <c r="M188" s="291"/>
      <c r="N188" s="291"/>
      <c r="O188" s="291"/>
      <c r="P188" s="291"/>
      <c r="Q188" s="291"/>
    </row>
    <row r="189" spans="1:17">
      <c r="A189" s="910"/>
      <c r="B189" s="930">
        <v>176</v>
      </c>
      <c r="C189" s="931">
        <f t="shared" si="15"/>
        <v>49473.870253779693</v>
      </c>
      <c r="D189" s="931">
        <f t="shared" si="14"/>
        <v>60141.82042509396</v>
      </c>
      <c r="E189" s="931">
        <f t="shared" si="16"/>
        <v>15162587.488430198</v>
      </c>
      <c r="F189" s="291"/>
      <c r="G189" s="293"/>
      <c r="H189" s="930">
        <v>175</v>
      </c>
      <c r="I189" s="930">
        <f t="shared" si="20"/>
        <v>210</v>
      </c>
      <c r="J189" s="931">
        <f t="shared" si="18"/>
        <v>147395.80352598644</v>
      </c>
      <c r="K189" s="931">
        <f t="shared" si="17"/>
        <v>79665.463733305456</v>
      </c>
      <c r="L189" s="933">
        <f t="shared" si="19"/>
        <v>29399495.241463985</v>
      </c>
      <c r="M189" s="291"/>
      <c r="N189" s="291"/>
      <c r="O189" s="291"/>
      <c r="P189" s="291"/>
      <c r="Q189" s="291"/>
    </row>
    <row r="190" spans="1:17">
      <c r="A190" s="910"/>
      <c r="B190" s="930">
        <v>177</v>
      </c>
      <c r="C190" s="931">
        <f t="shared" si="15"/>
        <v>49278.409337398138</v>
      </c>
      <c r="D190" s="931">
        <f t="shared" si="14"/>
        <v>60337.281341475515</v>
      </c>
      <c r="E190" s="931">
        <f t="shared" si="16"/>
        <v>15102250.207088722</v>
      </c>
      <c r="F190" s="291"/>
      <c r="G190" s="293"/>
      <c r="H190" s="930">
        <v>176</v>
      </c>
      <c r="I190" s="930">
        <f t="shared" si="20"/>
        <v>211</v>
      </c>
      <c r="J190" s="931">
        <f t="shared" si="18"/>
        <v>146997.47620731991</v>
      </c>
      <c r="K190" s="931">
        <f t="shared" si="17"/>
        <v>80063.791051971988</v>
      </c>
      <c r="L190" s="933">
        <f t="shared" si="19"/>
        <v>29319431.450412013</v>
      </c>
      <c r="M190" s="291"/>
      <c r="N190" s="291"/>
      <c r="O190" s="291"/>
      <c r="P190" s="291"/>
      <c r="Q190" s="291"/>
    </row>
    <row r="191" spans="1:17">
      <c r="A191" s="910"/>
      <c r="B191" s="930">
        <v>178</v>
      </c>
      <c r="C191" s="931">
        <f t="shared" si="15"/>
        <v>49082.313173038339</v>
      </c>
      <c r="D191" s="931">
        <f t="shared" si="14"/>
        <v>60533.377505835313</v>
      </c>
      <c r="E191" s="931">
        <f t="shared" si="16"/>
        <v>15041716.829582887</v>
      </c>
      <c r="F191" s="291"/>
      <c r="G191" s="293"/>
      <c r="H191" s="930">
        <v>177</v>
      </c>
      <c r="I191" s="930">
        <f t="shared" si="20"/>
        <v>212</v>
      </c>
      <c r="J191" s="931">
        <f t="shared" si="18"/>
        <v>146597.15725206005</v>
      </c>
      <c r="K191" s="931">
        <f t="shared" si="17"/>
        <v>80464.110007231851</v>
      </c>
      <c r="L191" s="933">
        <f t="shared" si="19"/>
        <v>29238967.340404782</v>
      </c>
      <c r="M191" s="291"/>
      <c r="N191" s="291"/>
      <c r="O191" s="291"/>
      <c r="P191" s="291"/>
      <c r="Q191" s="291"/>
    </row>
    <row r="192" spans="1:17">
      <c r="A192" s="910"/>
      <c r="B192" s="930">
        <v>179</v>
      </c>
      <c r="C192" s="931">
        <f t="shared" si="15"/>
        <v>48885.579696144385</v>
      </c>
      <c r="D192" s="931">
        <f t="shared" si="14"/>
        <v>60730.110982729268</v>
      </c>
      <c r="E192" s="931">
        <f t="shared" si="16"/>
        <v>14980986.718600158</v>
      </c>
      <c r="F192" s="291"/>
      <c r="G192" s="293"/>
      <c r="H192" s="930">
        <v>178</v>
      </c>
      <c r="I192" s="930">
        <f t="shared" si="20"/>
        <v>213</v>
      </c>
      <c r="J192" s="931">
        <f t="shared" si="18"/>
        <v>146194.83670202389</v>
      </c>
      <c r="K192" s="931">
        <f t="shared" si="17"/>
        <v>80866.430557268002</v>
      </c>
      <c r="L192" s="933">
        <f t="shared" si="19"/>
        <v>29158100.909847513</v>
      </c>
      <c r="M192" s="291"/>
      <c r="N192" s="291"/>
      <c r="O192" s="291"/>
      <c r="P192" s="291"/>
      <c r="Q192" s="291"/>
    </row>
    <row r="193" spans="1:17">
      <c r="A193" s="929">
        <v>16</v>
      </c>
      <c r="B193" s="930">
        <v>180</v>
      </c>
      <c r="C193" s="931">
        <f t="shared" si="15"/>
        <v>48688.20683545051</v>
      </c>
      <c r="D193" s="931">
        <f t="shared" si="14"/>
        <v>60927.483843423142</v>
      </c>
      <c r="E193" s="931">
        <f t="shared" si="16"/>
        <v>14920059.234756734</v>
      </c>
      <c r="F193" s="291"/>
      <c r="G193" s="293"/>
      <c r="H193" s="930">
        <v>179</v>
      </c>
      <c r="I193" s="930">
        <f t="shared" si="20"/>
        <v>214</v>
      </c>
      <c r="J193" s="931">
        <f t="shared" si="18"/>
        <v>145790.50454923755</v>
      </c>
      <c r="K193" s="931">
        <f t="shared" si="17"/>
        <v>81270.762710054347</v>
      </c>
      <c r="L193" s="933">
        <f t="shared" si="19"/>
        <v>29076830.147137459</v>
      </c>
      <c r="M193" s="291"/>
      <c r="N193" s="291"/>
      <c r="O193" s="291"/>
      <c r="P193" s="291"/>
      <c r="Q193" s="291"/>
    </row>
    <row r="194" spans="1:17">
      <c r="A194" s="910"/>
      <c r="B194" s="930">
        <v>181</v>
      </c>
      <c r="C194" s="931">
        <f t="shared" si="15"/>
        <v>48490.192512959387</v>
      </c>
      <c r="D194" s="931">
        <f t="shared" si="14"/>
        <v>61125.498165914265</v>
      </c>
      <c r="E194" s="931">
        <f t="shared" si="16"/>
        <v>14858933.736590819</v>
      </c>
      <c r="F194" s="291"/>
      <c r="G194" s="293"/>
      <c r="H194" s="930">
        <v>180</v>
      </c>
      <c r="I194" s="930">
        <f t="shared" si="20"/>
        <v>215</v>
      </c>
      <c r="J194" s="931">
        <f t="shared" si="18"/>
        <v>145384.15073568729</v>
      </c>
      <c r="K194" s="931">
        <f t="shared" si="17"/>
        <v>81677.116523604607</v>
      </c>
      <c r="L194" s="933">
        <f t="shared" si="19"/>
        <v>28995153.030613855</v>
      </c>
      <c r="M194" s="291"/>
      <c r="N194" s="291"/>
      <c r="O194" s="291"/>
      <c r="P194" s="291"/>
      <c r="Q194" s="291"/>
    </row>
    <row r="195" spans="1:17">
      <c r="A195" s="910"/>
      <c r="B195" s="930">
        <v>182</v>
      </c>
      <c r="C195" s="931">
        <f t="shared" si="15"/>
        <v>48291.534643920168</v>
      </c>
      <c r="D195" s="931">
        <f t="shared" si="14"/>
        <v>61324.156034953485</v>
      </c>
      <c r="E195" s="931">
        <f t="shared" si="16"/>
        <v>14797609.580555866</v>
      </c>
      <c r="F195" s="291"/>
      <c r="G195" s="293"/>
      <c r="H195" s="930">
        <v>181</v>
      </c>
      <c r="I195" s="930">
        <f t="shared" si="20"/>
        <v>216</v>
      </c>
      <c r="J195" s="931">
        <f t="shared" si="18"/>
        <v>144975.76515306925</v>
      </c>
      <c r="K195" s="931">
        <f t="shared" si="17"/>
        <v>82085.502106222644</v>
      </c>
      <c r="L195" s="933">
        <f t="shared" si="19"/>
        <v>28913067.528507631</v>
      </c>
      <c r="M195" s="291"/>
      <c r="N195" s="291"/>
      <c r="O195" s="291"/>
      <c r="P195" s="291"/>
      <c r="Q195" s="291"/>
    </row>
    <row r="196" spans="1:17">
      <c r="A196" s="910"/>
      <c r="B196" s="930">
        <v>183</v>
      </c>
      <c r="C196" s="931">
        <f t="shared" si="15"/>
        <v>48092.231136806564</v>
      </c>
      <c r="D196" s="931">
        <f t="shared" si="14"/>
        <v>61523.459542067088</v>
      </c>
      <c r="E196" s="931">
        <f t="shared" si="16"/>
        <v>14736086.121013798</v>
      </c>
      <c r="F196" s="291"/>
      <c r="G196" s="293"/>
      <c r="H196" s="930">
        <v>182</v>
      </c>
      <c r="I196" s="930">
        <f t="shared" si="20"/>
        <v>217</v>
      </c>
      <c r="J196" s="931">
        <f t="shared" si="18"/>
        <v>144565.33764253816</v>
      </c>
      <c r="K196" s="931">
        <f t="shared" si="17"/>
        <v>82495.92961675374</v>
      </c>
      <c r="L196" s="933">
        <f t="shared" si="19"/>
        <v>28830571.598890878</v>
      </c>
      <c r="M196" s="291"/>
      <c r="N196" s="291"/>
      <c r="O196" s="291"/>
      <c r="P196" s="291"/>
      <c r="Q196" s="291"/>
    </row>
    <row r="197" spans="1:17">
      <c r="A197" s="910"/>
      <c r="B197" s="930">
        <v>184</v>
      </c>
      <c r="C197" s="931">
        <f t="shared" si="15"/>
        <v>47892.279893294843</v>
      </c>
      <c r="D197" s="931">
        <f t="shared" si="14"/>
        <v>61723.41078557881</v>
      </c>
      <c r="E197" s="931">
        <f t="shared" si="16"/>
        <v>14674362.71022822</v>
      </c>
      <c r="F197" s="291"/>
      <c r="G197" s="293"/>
      <c r="H197" s="930">
        <v>183</v>
      </c>
      <c r="I197" s="930">
        <f t="shared" si="20"/>
        <v>218</v>
      </c>
      <c r="J197" s="931">
        <f t="shared" si="18"/>
        <v>144152.85799445439</v>
      </c>
      <c r="K197" s="931">
        <f t="shared" si="17"/>
        <v>82908.409264837508</v>
      </c>
      <c r="L197" s="933">
        <f t="shared" si="19"/>
        <v>28747663.189626042</v>
      </c>
      <c r="M197" s="291"/>
      <c r="N197" s="291"/>
      <c r="O197" s="291"/>
      <c r="P197" s="291"/>
      <c r="Q197" s="291"/>
    </row>
    <row r="198" spans="1:17">
      <c r="A198" s="910"/>
      <c r="B198" s="930">
        <v>185</v>
      </c>
      <c r="C198" s="931">
        <f t="shared" si="15"/>
        <v>47691.678808241712</v>
      </c>
      <c r="D198" s="931">
        <f t="shared" si="14"/>
        <v>61924.011870631941</v>
      </c>
      <c r="E198" s="931">
        <f t="shared" si="16"/>
        <v>14612438.698357588</v>
      </c>
      <c r="F198" s="291"/>
      <c r="G198" s="293"/>
      <c r="H198" s="930">
        <v>184</v>
      </c>
      <c r="I198" s="930">
        <f t="shared" si="20"/>
        <v>219</v>
      </c>
      <c r="J198" s="931">
        <f t="shared" si="18"/>
        <v>143738.31594813018</v>
      </c>
      <c r="K198" s="931">
        <f t="shared" si="17"/>
        <v>83322.951311161713</v>
      </c>
      <c r="L198" s="933">
        <f t="shared" si="19"/>
        <v>28664340.238314882</v>
      </c>
      <c r="M198" s="291"/>
      <c r="N198" s="291"/>
      <c r="O198" s="291"/>
      <c r="P198" s="291"/>
      <c r="Q198" s="291"/>
    </row>
    <row r="199" spans="1:17">
      <c r="A199" s="910"/>
      <c r="B199" s="930">
        <v>186</v>
      </c>
      <c r="C199" s="931">
        <f t="shared" si="15"/>
        <v>47490.425769662164</v>
      </c>
      <c r="D199" s="931">
        <f t="shared" si="14"/>
        <v>62125.264909211488</v>
      </c>
      <c r="E199" s="931">
        <f t="shared" si="16"/>
        <v>14550313.433448376</v>
      </c>
      <c r="F199" s="291"/>
      <c r="G199" s="293"/>
      <c r="H199" s="930">
        <v>185</v>
      </c>
      <c r="I199" s="930">
        <f t="shared" si="20"/>
        <v>220</v>
      </c>
      <c r="J199" s="931">
        <f t="shared" si="18"/>
        <v>143321.70119157442</v>
      </c>
      <c r="K199" s="931">
        <f t="shared" si="17"/>
        <v>83739.566067717475</v>
      </c>
      <c r="L199" s="933">
        <f t="shared" si="19"/>
        <v>28580600.672247164</v>
      </c>
      <c r="M199" s="291"/>
      <c r="N199" s="291"/>
      <c r="O199" s="291"/>
      <c r="P199" s="291"/>
      <c r="Q199" s="291"/>
    </row>
    <row r="200" spans="1:17">
      <c r="A200" s="910"/>
      <c r="B200" s="930">
        <v>187</v>
      </c>
      <c r="C200" s="931">
        <f t="shared" si="15"/>
        <v>47288.518658707217</v>
      </c>
      <c r="D200" s="931">
        <f t="shared" si="14"/>
        <v>62327.172020166436</v>
      </c>
      <c r="E200" s="931">
        <f t="shared" si="16"/>
        <v>14487986.261428209</v>
      </c>
      <c r="F200" s="291"/>
      <c r="G200" s="293"/>
      <c r="H200" s="930">
        <v>186</v>
      </c>
      <c r="I200" s="930">
        <f t="shared" si="20"/>
        <v>221</v>
      </c>
      <c r="J200" s="931">
        <f t="shared" si="18"/>
        <v>142903.00336123581</v>
      </c>
      <c r="K200" s="931">
        <f t="shared" si="17"/>
        <v>84158.263898056088</v>
      </c>
      <c r="L200" s="933">
        <f t="shared" si="19"/>
        <v>28496442.408349108</v>
      </c>
      <c r="M200" s="291"/>
      <c r="N200" s="291"/>
      <c r="O200" s="291"/>
      <c r="P200" s="291"/>
      <c r="Q200" s="291"/>
    </row>
    <row r="201" spans="1:17">
      <c r="A201" s="910"/>
      <c r="B201" s="930">
        <v>188</v>
      </c>
      <c r="C201" s="931">
        <f t="shared" si="15"/>
        <v>47085.955349641677</v>
      </c>
      <c r="D201" s="931">
        <f t="shared" si="14"/>
        <v>62529.735329231975</v>
      </c>
      <c r="E201" s="931">
        <f t="shared" si="16"/>
        <v>14425456.526098978</v>
      </c>
      <c r="F201" s="291"/>
      <c r="G201" s="293"/>
      <c r="H201" s="930">
        <v>187</v>
      </c>
      <c r="I201" s="930">
        <f t="shared" si="20"/>
        <v>222</v>
      </c>
      <c r="J201" s="931">
        <f t="shared" si="18"/>
        <v>142482.21204174552</v>
      </c>
      <c r="K201" s="931">
        <f t="shared" si="17"/>
        <v>84579.055217546382</v>
      </c>
      <c r="L201" s="933">
        <f t="shared" si="19"/>
        <v>28411863.353131562</v>
      </c>
      <c r="M201" s="291"/>
      <c r="N201" s="291"/>
      <c r="O201" s="291"/>
      <c r="P201" s="291"/>
      <c r="Q201" s="291"/>
    </row>
    <row r="202" spans="1:17">
      <c r="A202" s="910"/>
      <c r="B202" s="930">
        <v>189</v>
      </c>
      <c r="C202" s="931">
        <f t="shared" si="15"/>
        <v>46882.733709821681</v>
      </c>
      <c r="D202" s="931">
        <f t="shared" si="14"/>
        <v>62732.956969051971</v>
      </c>
      <c r="E202" s="931">
        <f t="shared" si="16"/>
        <v>14362723.569129925</v>
      </c>
      <c r="F202" s="291"/>
      <c r="G202" s="293"/>
      <c r="H202" s="930">
        <v>188</v>
      </c>
      <c r="I202" s="930">
        <f t="shared" si="20"/>
        <v>223</v>
      </c>
      <c r="J202" s="931">
        <f t="shared" si="18"/>
        <v>142059.3167656578</v>
      </c>
      <c r="K202" s="931">
        <f t="shared" si="17"/>
        <v>85001.950493634096</v>
      </c>
      <c r="L202" s="933">
        <f t="shared" si="19"/>
        <v>28326861.402637929</v>
      </c>
      <c r="M202" s="291"/>
      <c r="N202" s="291"/>
      <c r="O202" s="291"/>
      <c r="P202" s="291"/>
      <c r="Q202" s="291"/>
    </row>
    <row r="203" spans="1:17">
      <c r="A203" s="910"/>
      <c r="B203" s="930">
        <v>190</v>
      </c>
      <c r="C203" s="931">
        <f t="shared" si="15"/>
        <v>46678.851599672256</v>
      </c>
      <c r="D203" s="931">
        <f t="shared" si="14"/>
        <v>62936.839079201396</v>
      </c>
      <c r="E203" s="931">
        <f t="shared" si="16"/>
        <v>14299786.730050724</v>
      </c>
      <c r="F203" s="291"/>
      <c r="G203" s="293"/>
      <c r="H203" s="930">
        <v>189</v>
      </c>
      <c r="I203" s="930">
        <f t="shared" si="20"/>
        <v>224</v>
      </c>
      <c r="J203" s="931">
        <f t="shared" si="18"/>
        <v>141634.30701318962</v>
      </c>
      <c r="K203" s="931">
        <f t="shared" si="17"/>
        <v>85426.960246102273</v>
      </c>
      <c r="L203" s="933">
        <f t="shared" si="19"/>
        <v>28241434.442391828</v>
      </c>
      <c r="M203" s="291"/>
      <c r="N203" s="291"/>
      <c r="O203" s="291"/>
      <c r="P203" s="291"/>
      <c r="Q203" s="291"/>
    </row>
    <row r="204" spans="1:17">
      <c r="A204" s="910"/>
      <c r="B204" s="930">
        <v>191</v>
      </c>
      <c r="C204" s="931">
        <f t="shared" si="15"/>
        <v>46474.306872664856</v>
      </c>
      <c r="D204" s="931">
        <f t="shared" si="14"/>
        <v>63141.383806208796</v>
      </c>
      <c r="E204" s="931">
        <f t="shared" si="16"/>
        <v>14236645.346244516</v>
      </c>
      <c r="F204" s="291"/>
      <c r="G204" s="293"/>
      <c r="H204" s="930">
        <v>190</v>
      </c>
      <c r="I204" s="930">
        <f t="shared" si="20"/>
        <v>225</v>
      </c>
      <c r="J204" s="931">
        <f t="shared" si="18"/>
        <v>141207.17221195911</v>
      </c>
      <c r="K204" s="931">
        <f t="shared" si="17"/>
        <v>85854.095047332783</v>
      </c>
      <c r="L204" s="933">
        <f t="shared" si="19"/>
        <v>28155580.347344495</v>
      </c>
      <c r="M204" s="291"/>
      <c r="N204" s="291"/>
      <c r="O204" s="291"/>
      <c r="P204" s="291"/>
      <c r="Q204" s="291"/>
    </row>
    <row r="205" spans="1:17">
      <c r="A205" s="929">
        <v>17</v>
      </c>
      <c r="B205" s="930">
        <v>192</v>
      </c>
      <c r="C205" s="931">
        <f t="shared" si="15"/>
        <v>46269.097375294681</v>
      </c>
      <c r="D205" s="931">
        <f t="shared" si="14"/>
        <v>63346.593303578971</v>
      </c>
      <c r="E205" s="931">
        <f t="shared" si="16"/>
        <v>14173298.752940936</v>
      </c>
      <c r="F205" s="291"/>
      <c r="G205" s="293"/>
      <c r="H205" s="930">
        <v>191</v>
      </c>
      <c r="I205" s="930">
        <f t="shared" si="20"/>
        <v>226</v>
      </c>
      <c r="J205" s="931">
        <f t="shared" si="18"/>
        <v>140777.90173672247</v>
      </c>
      <c r="K205" s="931">
        <f t="shared" si="17"/>
        <v>86283.365522569424</v>
      </c>
      <c r="L205" s="933">
        <f t="shared" si="19"/>
        <v>28069296.981821924</v>
      </c>
      <c r="M205" s="291"/>
      <c r="N205" s="291"/>
      <c r="O205" s="291"/>
      <c r="P205" s="291"/>
      <c r="Q205" s="291"/>
    </row>
    <row r="206" spans="1:17">
      <c r="A206" s="910"/>
      <c r="B206" s="930">
        <v>193</v>
      </c>
      <c r="C206" s="931">
        <f t="shared" si="15"/>
        <v>46063.220947058049</v>
      </c>
      <c r="D206" s="931">
        <f t="shared" ref="D206:D269" si="21">IF($C$10&gt;B206,0,IF(C206&lt;0.01,0,$C$8-C206))</f>
        <v>63552.469731815603</v>
      </c>
      <c r="E206" s="931">
        <f t="shared" si="16"/>
        <v>14109746.283209121</v>
      </c>
      <c r="F206" s="291"/>
      <c r="G206" s="293"/>
      <c r="H206" s="930">
        <v>192</v>
      </c>
      <c r="I206" s="930">
        <f t="shared" si="20"/>
        <v>227</v>
      </c>
      <c r="J206" s="931">
        <f t="shared" si="18"/>
        <v>140346.48490910963</v>
      </c>
      <c r="K206" s="931">
        <f t="shared" si="17"/>
        <v>86714.782350182271</v>
      </c>
      <c r="L206" s="933">
        <f t="shared" si="19"/>
        <v>27982582.199471742</v>
      </c>
      <c r="M206" s="291"/>
      <c r="N206" s="291"/>
      <c r="O206" s="291"/>
      <c r="P206" s="291"/>
      <c r="Q206" s="291"/>
    </row>
    <row r="207" spans="1:17">
      <c r="A207" s="910"/>
      <c r="B207" s="930">
        <v>194</v>
      </c>
      <c r="C207" s="931">
        <f t="shared" ref="C207:C270" si="22">IF(E206&lt;0.01,0,E206*$C$5/12)</f>
        <v>45856.675420429645</v>
      </c>
      <c r="D207" s="931">
        <f t="shared" si="21"/>
        <v>63759.015258444007</v>
      </c>
      <c r="E207" s="931">
        <f t="shared" ref="E207:E270" si="23">IF(E206&lt;0.01,0,E206-D207)</f>
        <v>14045987.267950676</v>
      </c>
      <c r="F207" s="291"/>
      <c r="G207" s="293"/>
      <c r="H207" s="930">
        <v>193</v>
      </c>
      <c r="I207" s="930">
        <f t="shared" si="20"/>
        <v>228</v>
      </c>
      <c r="J207" s="931">
        <f t="shared" si="18"/>
        <v>139912.9109973587</v>
      </c>
      <c r="K207" s="931">
        <f t="shared" ref="K207:K270" si="24">IF($I$10&gt;H207,0,IF(J207&lt;0.01,0,$I$8-J207))</f>
        <v>87148.356261933193</v>
      </c>
      <c r="L207" s="933">
        <f t="shared" si="19"/>
        <v>27895433.843209811</v>
      </c>
      <c r="M207" s="291"/>
      <c r="N207" s="291"/>
      <c r="O207" s="291"/>
      <c r="P207" s="291"/>
      <c r="Q207" s="291"/>
    </row>
    <row r="208" spans="1:17">
      <c r="A208" s="910"/>
      <c r="B208" s="930">
        <v>195</v>
      </c>
      <c r="C208" s="931">
        <f t="shared" si="22"/>
        <v>45649.458620839694</v>
      </c>
      <c r="D208" s="931">
        <f t="shared" si="21"/>
        <v>63966.232058033958</v>
      </c>
      <c r="E208" s="931">
        <f t="shared" si="23"/>
        <v>13982021.035892643</v>
      </c>
      <c r="F208" s="291"/>
      <c r="G208" s="293"/>
      <c r="H208" s="930">
        <v>194</v>
      </c>
      <c r="I208" s="930">
        <f t="shared" si="20"/>
        <v>229</v>
      </c>
      <c r="J208" s="931">
        <f t="shared" ref="J208:J271" si="25">IF(L207&lt;0.01,0,L207*$I$5/12)</f>
        <v>139477.16921604905</v>
      </c>
      <c r="K208" s="931">
        <f t="shared" si="24"/>
        <v>87584.098043242848</v>
      </c>
      <c r="L208" s="933">
        <f t="shared" ref="L208:L271" si="26">IF(L207&lt;0.01,0,L207-K208)</f>
        <v>27807849.745166566</v>
      </c>
      <c r="M208" s="291"/>
      <c r="N208" s="291"/>
      <c r="O208" s="291"/>
      <c r="P208" s="291"/>
      <c r="Q208" s="291"/>
    </row>
    <row r="209" spans="1:17">
      <c r="A209" s="910"/>
      <c r="B209" s="930">
        <v>196</v>
      </c>
      <c r="C209" s="931">
        <f t="shared" si="22"/>
        <v>45441.568366651096</v>
      </c>
      <c r="D209" s="931">
        <f t="shared" si="21"/>
        <v>64174.122312222557</v>
      </c>
      <c r="E209" s="931">
        <f t="shared" si="23"/>
        <v>13917846.913580421</v>
      </c>
      <c r="F209" s="291"/>
      <c r="G209" s="293"/>
      <c r="H209" s="930">
        <v>195</v>
      </c>
      <c r="I209" s="930">
        <f t="shared" ref="I209:I272" si="27">I208+1</f>
        <v>230</v>
      </c>
      <c r="J209" s="931">
        <f t="shared" si="25"/>
        <v>139039.24872583282</v>
      </c>
      <c r="K209" s="931">
        <f t="shared" si="24"/>
        <v>88022.018533459079</v>
      </c>
      <c r="L209" s="933">
        <f t="shared" si="26"/>
        <v>27719827.726633105</v>
      </c>
      <c r="M209" s="291"/>
      <c r="N209" s="291"/>
      <c r="O209" s="291"/>
      <c r="P209" s="291"/>
      <c r="Q209" s="291"/>
    </row>
    <row r="210" spans="1:17">
      <c r="A210" s="910"/>
      <c r="B210" s="930">
        <v>197</v>
      </c>
      <c r="C210" s="931">
        <f t="shared" si="22"/>
        <v>45233.002469136372</v>
      </c>
      <c r="D210" s="931">
        <f t="shared" si="21"/>
        <v>64382.68820973728</v>
      </c>
      <c r="E210" s="931">
        <f t="shared" si="23"/>
        <v>13853464.225370685</v>
      </c>
      <c r="F210" s="291"/>
      <c r="G210" s="293"/>
      <c r="H210" s="930">
        <v>196</v>
      </c>
      <c r="I210" s="930">
        <f t="shared" si="27"/>
        <v>231</v>
      </c>
      <c r="J210" s="931">
        <f t="shared" si="25"/>
        <v>138599.13863316554</v>
      </c>
      <c r="K210" s="931">
        <f t="shared" si="24"/>
        <v>88462.128626126359</v>
      </c>
      <c r="L210" s="933">
        <f t="shared" si="26"/>
        <v>27631365.598006979</v>
      </c>
      <c r="M210" s="291"/>
      <c r="N210" s="291"/>
      <c r="O210" s="291"/>
      <c r="P210" s="291"/>
      <c r="Q210" s="291"/>
    </row>
    <row r="211" spans="1:17">
      <c r="A211" s="910"/>
      <c r="B211" s="930">
        <v>198</v>
      </c>
      <c r="C211" s="931">
        <f t="shared" si="22"/>
        <v>45023.758732454728</v>
      </c>
      <c r="D211" s="931">
        <f t="shared" si="21"/>
        <v>64591.931946418925</v>
      </c>
      <c r="E211" s="931">
        <f t="shared" si="23"/>
        <v>13788872.293424265</v>
      </c>
      <c r="F211" s="291"/>
      <c r="G211" s="293"/>
      <c r="H211" s="930">
        <v>197</v>
      </c>
      <c r="I211" s="930">
        <f t="shared" si="27"/>
        <v>232</v>
      </c>
      <c r="J211" s="931">
        <f t="shared" si="25"/>
        <v>138156.82799003489</v>
      </c>
      <c r="K211" s="931">
        <f t="shared" si="24"/>
        <v>88904.439269257011</v>
      </c>
      <c r="L211" s="933">
        <f t="shared" si="26"/>
        <v>27542461.158737723</v>
      </c>
      <c r="M211" s="291"/>
      <c r="N211" s="291"/>
      <c r="O211" s="291"/>
      <c r="P211" s="291"/>
      <c r="Q211" s="291"/>
    </row>
    <row r="212" spans="1:17">
      <c r="A212" s="910"/>
      <c r="B212" s="930">
        <v>199</v>
      </c>
      <c r="C212" s="931">
        <f t="shared" si="22"/>
        <v>44813.834953628859</v>
      </c>
      <c r="D212" s="931">
        <f t="shared" si="21"/>
        <v>64801.855725244794</v>
      </c>
      <c r="E212" s="931">
        <f t="shared" si="23"/>
        <v>13724070.43769902</v>
      </c>
      <c r="F212" s="291"/>
      <c r="G212" s="293"/>
      <c r="H212" s="930">
        <v>198</v>
      </c>
      <c r="I212" s="930">
        <f t="shared" si="27"/>
        <v>233</v>
      </c>
      <c r="J212" s="931">
        <f t="shared" si="25"/>
        <v>137712.3057936886</v>
      </c>
      <c r="K212" s="931">
        <f t="shared" si="24"/>
        <v>89348.961465603294</v>
      </c>
      <c r="L212" s="933">
        <f t="shared" si="26"/>
        <v>27453112.197272118</v>
      </c>
      <c r="M212" s="291"/>
      <c r="N212" s="291"/>
      <c r="O212" s="291"/>
      <c r="P212" s="291"/>
      <c r="Q212" s="291"/>
    </row>
    <row r="213" spans="1:17">
      <c r="A213" s="910"/>
      <c r="B213" s="930">
        <v>200</v>
      </c>
      <c r="C213" s="931">
        <f t="shared" si="22"/>
        <v>44603.228922521812</v>
      </c>
      <c r="D213" s="931">
        <f t="shared" si="21"/>
        <v>65012.46175635184</v>
      </c>
      <c r="E213" s="931">
        <f t="shared" si="23"/>
        <v>13659057.975942668</v>
      </c>
      <c r="F213" s="291"/>
      <c r="G213" s="293"/>
      <c r="H213" s="930">
        <v>199</v>
      </c>
      <c r="I213" s="930">
        <f t="shared" si="27"/>
        <v>234</v>
      </c>
      <c r="J213" s="931">
        <f t="shared" si="25"/>
        <v>137265.56098636059</v>
      </c>
      <c r="K213" s="931">
        <f t="shared" si="24"/>
        <v>89795.706272931304</v>
      </c>
      <c r="L213" s="933">
        <f t="shared" si="26"/>
        <v>27363316.490999188</v>
      </c>
      <c r="M213" s="291"/>
      <c r="N213" s="291"/>
      <c r="O213" s="291"/>
      <c r="P213" s="291"/>
      <c r="Q213" s="291"/>
    </row>
    <row r="214" spans="1:17">
      <c r="A214" s="910"/>
      <c r="B214" s="930">
        <v>201</v>
      </c>
      <c r="C214" s="931">
        <f t="shared" si="22"/>
        <v>44391.938421813677</v>
      </c>
      <c r="D214" s="931">
        <f t="shared" si="21"/>
        <v>65223.752257059976</v>
      </c>
      <c r="E214" s="931">
        <f t="shared" si="23"/>
        <v>13593834.223685607</v>
      </c>
      <c r="F214" s="291"/>
      <c r="G214" s="293"/>
      <c r="H214" s="930">
        <v>200</v>
      </c>
      <c r="I214" s="930">
        <f t="shared" si="27"/>
        <v>235</v>
      </c>
      <c r="J214" s="931">
        <f t="shared" si="25"/>
        <v>136816.58245499592</v>
      </c>
      <c r="K214" s="931">
        <f t="shared" si="24"/>
        <v>90244.684804295975</v>
      </c>
      <c r="L214" s="933">
        <f t="shared" si="26"/>
        <v>27273071.806194894</v>
      </c>
      <c r="M214" s="291"/>
      <c r="N214" s="291"/>
      <c r="O214" s="291"/>
      <c r="P214" s="291"/>
      <c r="Q214" s="291"/>
    </row>
    <row r="215" spans="1:17">
      <c r="A215" s="910"/>
      <c r="B215" s="930">
        <v>202</v>
      </c>
      <c r="C215" s="931">
        <f t="shared" si="22"/>
        <v>44179.961226978223</v>
      </c>
      <c r="D215" s="931">
        <f t="shared" si="21"/>
        <v>65435.72945189543</v>
      </c>
      <c r="E215" s="931">
        <f t="shared" si="23"/>
        <v>13528398.494233713</v>
      </c>
      <c r="F215" s="291"/>
      <c r="G215" s="293"/>
      <c r="H215" s="930">
        <v>201</v>
      </c>
      <c r="I215" s="930">
        <f t="shared" si="27"/>
        <v>236</v>
      </c>
      <c r="J215" s="931">
        <f t="shared" si="25"/>
        <v>136365.35903097448</v>
      </c>
      <c r="K215" s="931">
        <f t="shared" si="24"/>
        <v>90695.908228317421</v>
      </c>
      <c r="L215" s="933">
        <f t="shared" si="26"/>
        <v>27182375.897966575</v>
      </c>
      <c r="M215" s="291"/>
      <c r="N215" s="291"/>
      <c r="O215" s="291"/>
      <c r="P215" s="291"/>
      <c r="Q215" s="291"/>
    </row>
    <row r="216" spans="1:17">
      <c r="A216" s="910"/>
      <c r="B216" s="930">
        <v>203</v>
      </c>
      <c r="C216" s="931">
        <f t="shared" si="22"/>
        <v>43967.29510625956</v>
      </c>
      <c r="D216" s="931">
        <f t="shared" si="21"/>
        <v>65648.395572614099</v>
      </c>
      <c r="E216" s="931">
        <f t="shared" si="23"/>
        <v>13462750.098661099</v>
      </c>
      <c r="F216" s="291"/>
      <c r="G216" s="293"/>
      <c r="H216" s="930">
        <v>202</v>
      </c>
      <c r="I216" s="930">
        <f t="shared" si="27"/>
        <v>237</v>
      </c>
      <c r="J216" s="931">
        <f t="shared" si="25"/>
        <v>135911.87948983288</v>
      </c>
      <c r="K216" s="931">
        <f t="shared" si="24"/>
        <v>91149.387769459019</v>
      </c>
      <c r="L216" s="933">
        <f t="shared" si="26"/>
        <v>27091226.510197114</v>
      </c>
      <c r="M216" s="291"/>
      <c r="N216" s="291"/>
      <c r="O216" s="291"/>
      <c r="P216" s="291"/>
      <c r="Q216" s="291"/>
    </row>
    <row r="217" spans="1:17">
      <c r="A217" s="929">
        <v>18</v>
      </c>
      <c r="B217" s="930">
        <v>204</v>
      </c>
      <c r="C217" s="931">
        <f t="shared" si="22"/>
        <v>43753.937820648571</v>
      </c>
      <c r="D217" s="931">
        <f t="shared" si="21"/>
        <v>65861.752858225082</v>
      </c>
      <c r="E217" s="931">
        <f t="shared" si="23"/>
        <v>13396888.345802873</v>
      </c>
      <c r="F217" s="291"/>
      <c r="G217" s="293"/>
      <c r="H217" s="930">
        <v>203</v>
      </c>
      <c r="I217" s="930">
        <f t="shared" si="27"/>
        <v>238</v>
      </c>
      <c r="J217" s="931">
        <f t="shared" si="25"/>
        <v>135456.13255098558</v>
      </c>
      <c r="K217" s="931">
        <f t="shared" si="24"/>
        <v>91605.134708306316</v>
      </c>
      <c r="L217" s="933">
        <f t="shared" si="26"/>
        <v>26999621.375488807</v>
      </c>
      <c r="M217" s="291"/>
      <c r="N217" s="291"/>
      <c r="O217" s="291"/>
      <c r="P217" s="291"/>
      <c r="Q217" s="291"/>
    </row>
    <row r="218" spans="1:17">
      <c r="A218" s="910"/>
      <c r="B218" s="930">
        <v>205</v>
      </c>
      <c r="C218" s="931">
        <f t="shared" si="22"/>
        <v>43539.887123859335</v>
      </c>
      <c r="D218" s="931">
        <f t="shared" si="21"/>
        <v>66075.80355501431</v>
      </c>
      <c r="E218" s="931">
        <f t="shared" si="23"/>
        <v>13330812.54224786</v>
      </c>
      <c r="F218" s="291"/>
      <c r="G218" s="293"/>
      <c r="H218" s="930">
        <v>204</v>
      </c>
      <c r="I218" s="930">
        <f t="shared" si="27"/>
        <v>239</v>
      </c>
      <c r="J218" s="931">
        <f t="shared" si="25"/>
        <v>134998.10687744402</v>
      </c>
      <c r="K218" s="931">
        <f t="shared" si="24"/>
        <v>92063.160381847876</v>
      </c>
      <c r="L218" s="933">
        <f t="shared" si="26"/>
        <v>26907558.21510696</v>
      </c>
      <c r="M218" s="291"/>
      <c r="N218" s="291"/>
      <c r="O218" s="291"/>
      <c r="P218" s="291"/>
      <c r="Q218" s="291"/>
    </row>
    <row r="219" spans="1:17">
      <c r="A219" s="910"/>
      <c r="B219" s="930">
        <v>206</v>
      </c>
      <c r="C219" s="931">
        <f t="shared" si="22"/>
        <v>43325.140762305542</v>
      </c>
      <c r="D219" s="931">
        <f t="shared" si="21"/>
        <v>66290.54991656811</v>
      </c>
      <c r="E219" s="931">
        <f t="shared" si="23"/>
        <v>13264521.992331292</v>
      </c>
      <c r="F219" s="291"/>
      <c r="G219" s="293"/>
      <c r="H219" s="930">
        <v>205</v>
      </c>
      <c r="I219" s="930">
        <f t="shared" si="27"/>
        <v>240</v>
      </c>
      <c r="J219" s="931">
        <f t="shared" si="25"/>
        <v>134537.7910755348</v>
      </c>
      <c r="K219" s="931">
        <f t="shared" si="24"/>
        <v>92523.476183757099</v>
      </c>
      <c r="L219" s="933">
        <f t="shared" si="26"/>
        <v>26815034.738923203</v>
      </c>
      <c r="M219" s="291"/>
      <c r="N219" s="291"/>
      <c r="O219" s="291"/>
      <c r="P219" s="291"/>
      <c r="Q219" s="291"/>
    </row>
    <row r="220" spans="1:17">
      <c r="A220" s="910"/>
      <c r="B220" s="930">
        <v>207</v>
      </c>
      <c r="C220" s="931">
        <f t="shared" si="22"/>
        <v>43109.6964750767</v>
      </c>
      <c r="D220" s="931">
        <f t="shared" si="21"/>
        <v>66505.994203796959</v>
      </c>
      <c r="E220" s="931">
        <f t="shared" si="23"/>
        <v>13198015.998127496</v>
      </c>
      <c r="F220" s="291"/>
      <c r="G220" s="293"/>
      <c r="H220" s="930">
        <v>206</v>
      </c>
      <c r="I220" s="930">
        <f t="shared" si="27"/>
        <v>241</v>
      </c>
      <c r="J220" s="931">
        <f t="shared" si="25"/>
        <v>134075.17369461601</v>
      </c>
      <c r="K220" s="931">
        <f t="shared" si="24"/>
        <v>92986.093564675888</v>
      </c>
      <c r="L220" s="933">
        <f t="shared" si="26"/>
        <v>26722048.645358529</v>
      </c>
      <c r="M220" s="291"/>
      <c r="N220" s="291"/>
      <c r="O220" s="291"/>
      <c r="P220" s="291"/>
      <c r="Q220" s="291"/>
    </row>
    <row r="221" spans="1:17">
      <c r="A221" s="910"/>
      <c r="B221" s="930">
        <v>208</v>
      </c>
      <c r="C221" s="931">
        <f t="shared" si="22"/>
        <v>42893.551993914363</v>
      </c>
      <c r="D221" s="931">
        <f t="shared" si="21"/>
        <v>66722.138684959296</v>
      </c>
      <c r="E221" s="931">
        <f t="shared" si="23"/>
        <v>13131293.859442536</v>
      </c>
      <c r="F221" s="291"/>
      <c r="G221" s="293"/>
      <c r="H221" s="930">
        <v>207</v>
      </c>
      <c r="I221" s="930">
        <f t="shared" si="27"/>
        <v>242</v>
      </c>
      <c r="J221" s="931">
        <f t="shared" si="25"/>
        <v>133610.24322679263</v>
      </c>
      <c r="K221" s="931">
        <f t="shared" si="24"/>
        <v>93451.024032499263</v>
      </c>
      <c r="L221" s="933">
        <f t="shared" si="26"/>
        <v>26628597.621326029</v>
      </c>
      <c r="M221" s="291"/>
      <c r="N221" s="291"/>
      <c r="O221" s="291"/>
      <c r="P221" s="291"/>
      <c r="Q221" s="291"/>
    </row>
    <row r="222" spans="1:17">
      <c r="A222" s="910"/>
      <c r="B222" s="930">
        <v>209</v>
      </c>
      <c r="C222" s="931">
        <f t="shared" si="22"/>
        <v>42676.705043188245</v>
      </c>
      <c r="D222" s="931">
        <f t="shared" si="21"/>
        <v>66938.985635685414</v>
      </c>
      <c r="E222" s="931">
        <f t="shared" si="23"/>
        <v>13064354.873806851</v>
      </c>
      <c r="F222" s="291"/>
      <c r="G222" s="293"/>
      <c r="H222" s="930">
        <v>208</v>
      </c>
      <c r="I222" s="930">
        <f t="shared" si="27"/>
        <v>243</v>
      </c>
      <c r="J222" s="931">
        <f t="shared" si="25"/>
        <v>133142.98810663013</v>
      </c>
      <c r="K222" s="931">
        <f t="shared" si="24"/>
        <v>93918.279152661766</v>
      </c>
      <c r="L222" s="933">
        <f t="shared" si="26"/>
        <v>26534679.342173368</v>
      </c>
      <c r="M222" s="291"/>
      <c r="N222" s="291"/>
      <c r="O222" s="291"/>
      <c r="P222" s="291"/>
      <c r="Q222" s="291"/>
    </row>
    <row r="223" spans="1:17">
      <c r="A223" s="910"/>
      <c r="B223" s="930">
        <v>210</v>
      </c>
      <c r="C223" s="931">
        <f t="shared" si="22"/>
        <v>42459.153339872268</v>
      </c>
      <c r="D223" s="931">
        <f t="shared" si="21"/>
        <v>67156.537339001385</v>
      </c>
      <c r="E223" s="931">
        <f t="shared" si="23"/>
        <v>12997198.336467849</v>
      </c>
      <c r="F223" s="291"/>
      <c r="G223" s="293"/>
      <c r="H223" s="930">
        <v>209</v>
      </c>
      <c r="I223" s="930">
        <f t="shared" si="27"/>
        <v>244</v>
      </c>
      <c r="J223" s="931">
        <f t="shared" si="25"/>
        <v>132673.39671086683</v>
      </c>
      <c r="K223" s="931">
        <f t="shared" si="24"/>
        <v>94387.870548425068</v>
      </c>
      <c r="L223" s="933">
        <f t="shared" si="26"/>
        <v>26440291.471624944</v>
      </c>
      <c r="M223" s="291"/>
      <c r="N223" s="291"/>
      <c r="O223" s="291"/>
      <c r="P223" s="291"/>
      <c r="Q223" s="291"/>
    </row>
    <row r="224" spans="1:17">
      <c r="A224" s="910"/>
      <c r="B224" s="930">
        <v>211</v>
      </c>
      <c r="C224" s="931">
        <f t="shared" si="22"/>
        <v>42240.894593520505</v>
      </c>
      <c r="D224" s="931">
        <f t="shared" si="21"/>
        <v>67374.796085353155</v>
      </c>
      <c r="E224" s="931">
        <f t="shared" si="23"/>
        <v>12929823.540382495</v>
      </c>
      <c r="F224" s="291"/>
      <c r="G224" s="293"/>
      <c r="H224" s="930">
        <v>210</v>
      </c>
      <c r="I224" s="930">
        <f t="shared" si="27"/>
        <v>245</v>
      </c>
      <c r="J224" s="931">
        <f t="shared" si="25"/>
        <v>132201.45735812472</v>
      </c>
      <c r="K224" s="931">
        <f t="shared" si="24"/>
        <v>94859.809901167173</v>
      </c>
      <c r="L224" s="933">
        <f t="shared" si="26"/>
        <v>26345431.661723778</v>
      </c>
      <c r="M224" s="291"/>
      <c r="N224" s="291"/>
      <c r="O224" s="291"/>
      <c r="P224" s="291"/>
      <c r="Q224" s="291"/>
    </row>
    <row r="225" spans="1:17">
      <c r="A225" s="910"/>
      <c r="B225" s="930">
        <v>212</v>
      </c>
      <c r="C225" s="931">
        <f t="shared" si="22"/>
        <v>42021.926506243108</v>
      </c>
      <c r="D225" s="931">
        <f t="shared" si="21"/>
        <v>67593.764172630545</v>
      </c>
      <c r="E225" s="931">
        <f t="shared" si="23"/>
        <v>12862229.776209865</v>
      </c>
      <c r="F225" s="291"/>
      <c r="G225" s="293"/>
      <c r="H225" s="930">
        <v>211</v>
      </c>
      <c r="I225" s="930">
        <f t="shared" si="27"/>
        <v>246</v>
      </c>
      <c r="J225" s="931">
        <f t="shared" si="25"/>
        <v>131727.15830861888</v>
      </c>
      <c r="K225" s="931">
        <f t="shared" si="24"/>
        <v>95334.10895067302</v>
      </c>
      <c r="L225" s="933">
        <f t="shared" si="26"/>
        <v>26250097.552773103</v>
      </c>
      <c r="M225" s="291"/>
      <c r="N225" s="291"/>
      <c r="O225" s="291"/>
      <c r="P225" s="291"/>
      <c r="Q225" s="291"/>
    </row>
    <row r="226" spans="1:17">
      <c r="A226" s="910"/>
      <c r="B226" s="930">
        <v>213</v>
      </c>
      <c r="C226" s="931">
        <f t="shared" si="22"/>
        <v>41802.246772682061</v>
      </c>
      <c r="D226" s="931">
        <f t="shared" si="21"/>
        <v>67813.443906191591</v>
      </c>
      <c r="E226" s="931">
        <f t="shared" si="23"/>
        <v>12794416.332303673</v>
      </c>
      <c r="F226" s="291"/>
      <c r="G226" s="293"/>
      <c r="H226" s="930">
        <v>212</v>
      </c>
      <c r="I226" s="930">
        <f t="shared" si="27"/>
        <v>247</v>
      </c>
      <c r="J226" s="931">
        <f t="shared" si="25"/>
        <v>131250.4877638655</v>
      </c>
      <c r="K226" s="931">
        <f t="shared" si="24"/>
        <v>95810.779495426395</v>
      </c>
      <c r="L226" s="933">
        <f t="shared" si="26"/>
        <v>26154286.773277678</v>
      </c>
      <c r="M226" s="291"/>
      <c r="N226" s="291"/>
      <c r="O226" s="291"/>
      <c r="P226" s="291"/>
      <c r="Q226" s="291"/>
    </row>
    <row r="227" spans="1:17">
      <c r="A227" s="910"/>
      <c r="B227" s="930">
        <v>214</v>
      </c>
      <c r="C227" s="931">
        <f t="shared" si="22"/>
        <v>41581.85307998694</v>
      </c>
      <c r="D227" s="931">
        <f t="shared" si="21"/>
        <v>68033.837598886719</v>
      </c>
      <c r="E227" s="931">
        <f t="shared" si="23"/>
        <v>12726382.494704787</v>
      </c>
      <c r="F227" s="291"/>
      <c r="G227" s="293"/>
      <c r="H227" s="930">
        <v>213</v>
      </c>
      <c r="I227" s="930">
        <f t="shared" si="27"/>
        <v>248</v>
      </c>
      <c r="J227" s="931">
        <f t="shared" si="25"/>
        <v>130771.43386638838</v>
      </c>
      <c r="K227" s="931">
        <f t="shared" si="24"/>
        <v>96289.833392903514</v>
      </c>
      <c r="L227" s="933">
        <f t="shared" si="26"/>
        <v>26057996.939884774</v>
      </c>
      <c r="M227" s="291"/>
      <c r="N227" s="291"/>
      <c r="O227" s="291"/>
      <c r="P227" s="291"/>
      <c r="Q227" s="291"/>
    </row>
    <row r="228" spans="1:17">
      <c r="A228" s="910"/>
      <c r="B228" s="930">
        <v>215</v>
      </c>
      <c r="C228" s="931">
        <f t="shared" si="22"/>
        <v>41360.743107790557</v>
      </c>
      <c r="D228" s="931">
        <f t="shared" si="21"/>
        <v>68254.947571083088</v>
      </c>
      <c r="E228" s="931">
        <f t="shared" si="23"/>
        <v>12658127.547133703</v>
      </c>
      <c r="F228" s="291"/>
      <c r="G228" s="293"/>
      <c r="H228" s="930">
        <v>214</v>
      </c>
      <c r="I228" s="930">
        <f t="shared" si="27"/>
        <v>249</v>
      </c>
      <c r="J228" s="931">
        <f t="shared" si="25"/>
        <v>130289.98469942388</v>
      </c>
      <c r="K228" s="931">
        <f t="shared" si="24"/>
        <v>96771.282559868021</v>
      </c>
      <c r="L228" s="933">
        <f t="shared" si="26"/>
        <v>25961225.657324906</v>
      </c>
      <c r="M228" s="291"/>
      <c r="N228" s="291"/>
      <c r="O228" s="291"/>
      <c r="P228" s="291"/>
      <c r="Q228" s="291"/>
    </row>
    <row r="229" spans="1:17">
      <c r="A229" s="929">
        <v>19</v>
      </c>
      <c r="B229" s="930">
        <v>216</v>
      </c>
      <c r="C229" s="931">
        <f t="shared" si="22"/>
        <v>41138.914528184534</v>
      </c>
      <c r="D229" s="931">
        <f t="shared" si="21"/>
        <v>68476.776150689111</v>
      </c>
      <c r="E229" s="931">
        <f t="shared" si="23"/>
        <v>12589650.770983014</v>
      </c>
      <c r="F229" s="291"/>
      <c r="G229" s="293"/>
      <c r="H229" s="930">
        <v>215</v>
      </c>
      <c r="I229" s="930">
        <f t="shared" si="27"/>
        <v>250</v>
      </c>
      <c r="J229" s="931">
        <f t="shared" si="25"/>
        <v>129806.12828662452</v>
      </c>
      <c r="K229" s="931">
        <f t="shared" si="24"/>
        <v>97255.138972667381</v>
      </c>
      <c r="L229" s="933">
        <f t="shared" si="26"/>
        <v>25863970.51835224</v>
      </c>
      <c r="M229" s="291"/>
      <c r="N229" s="291"/>
      <c r="O229" s="291"/>
      <c r="P229" s="291"/>
      <c r="Q229" s="291"/>
    </row>
    <row r="230" spans="1:17">
      <c r="A230" s="910"/>
      <c r="B230" s="930">
        <v>217</v>
      </c>
      <c r="C230" s="931">
        <f t="shared" si="22"/>
        <v>40916.365005694795</v>
      </c>
      <c r="D230" s="931">
        <f t="shared" si="21"/>
        <v>68699.325673178857</v>
      </c>
      <c r="E230" s="931">
        <f t="shared" si="23"/>
        <v>12520951.445309835</v>
      </c>
      <c r="F230" s="291"/>
      <c r="G230" s="293"/>
      <c r="H230" s="930">
        <v>216</v>
      </c>
      <c r="I230" s="930">
        <f t="shared" si="27"/>
        <v>251</v>
      </c>
      <c r="J230" s="931">
        <f t="shared" si="25"/>
        <v>129319.8525917612</v>
      </c>
      <c r="K230" s="931">
        <f t="shared" si="24"/>
        <v>97741.414667530698</v>
      </c>
      <c r="L230" s="933">
        <f t="shared" si="26"/>
        <v>25766229.103684708</v>
      </c>
      <c r="M230" s="291"/>
      <c r="N230" s="291"/>
      <c r="O230" s="291"/>
      <c r="P230" s="291"/>
      <c r="Q230" s="291"/>
    </row>
    <row r="231" spans="1:17">
      <c r="A231" s="910"/>
      <c r="B231" s="930">
        <v>218</v>
      </c>
      <c r="C231" s="931">
        <f t="shared" si="22"/>
        <v>40693.092197256963</v>
      </c>
      <c r="D231" s="931">
        <f t="shared" si="21"/>
        <v>68922.598481616689</v>
      </c>
      <c r="E231" s="931">
        <f t="shared" si="23"/>
        <v>12452028.846828219</v>
      </c>
      <c r="F231" s="291"/>
      <c r="G231" s="293"/>
      <c r="H231" s="930">
        <v>217</v>
      </c>
      <c r="I231" s="930">
        <f t="shared" si="27"/>
        <v>252</v>
      </c>
      <c r="J231" s="931">
        <f t="shared" si="25"/>
        <v>128831.14551842354</v>
      </c>
      <c r="K231" s="931">
        <f t="shared" si="24"/>
        <v>98230.121740868359</v>
      </c>
      <c r="L231" s="933">
        <f t="shared" si="26"/>
        <v>25667998.981943838</v>
      </c>
      <c r="M231" s="291"/>
      <c r="N231" s="291"/>
      <c r="O231" s="291"/>
      <c r="P231" s="291"/>
      <c r="Q231" s="291"/>
    </row>
    <row r="232" spans="1:17">
      <c r="A232" s="910"/>
      <c r="B232" s="930">
        <v>219</v>
      </c>
      <c r="C232" s="931">
        <f t="shared" si="22"/>
        <v>40469.093752191715</v>
      </c>
      <c r="D232" s="931">
        <f t="shared" si="21"/>
        <v>69146.59692668193</v>
      </c>
      <c r="E232" s="931">
        <f t="shared" si="23"/>
        <v>12382882.249901537</v>
      </c>
      <c r="F232" s="291"/>
      <c r="G232" s="293"/>
      <c r="H232" s="930">
        <v>218</v>
      </c>
      <c r="I232" s="930">
        <f t="shared" si="27"/>
        <v>253</v>
      </c>
      <c r="J232" s="931">
        <f t="shared" si="25"/>
        <v>128339.9949097192</v>
      </c>
      <c r="K232" s="931">
        <f t="shared" si="24"/>
        <v>98721.272349572697</v>
      </c>
      <c r="L232" s="933">
        <f t="shared" si="26"/>
        <v>25569277.709594265</v>
      </c>
      <c r="M232" s="291"/>
      <c r="N232" s="291"/>
      <c r="O232" s="291"/>
      <c r="P232" s="291"/>
      <c r="Q232" s="291"/>
    </row>
    <row r="233" spans="1:17">
      <c r="A233" s="910"/>
      <c r="B233" s="930">
        <v>220</v>
      </c>
      <c r="C233" s="931">
        <f t="shared" si="22"/>
        <v>40244.367312179995</v>
      </c>
      <c r="D233" s="931">
        <f t="shared" si="21"/>
        <v>69371.323366693658</v>
      </c>
      <c r="E233" s="931">
        <f t="shared" si="23"/>
        <v>12313510.926534843</v>
      </c>
      <c r="F233" s="291"/>
      <c r="G233" s="293"/>
      <c r="H233" s="930">
        <v>219</v>
      </c>
      <c r="I233" s="930">
        <f t="shared" si="27"/>
        <v>254</v>
      </c>
      <c r="J233" s="931">
        <f t="shared" si="25"/>
        <v>127846.38854797132</v>
      </c>
      <c r="K233" s="931">
        <f t="shared" si="24"/>
        <v>99214.878711320576</v>
      </c>
      <c r="L233" s="933">
        <f t="shared" si="26"/>
        <v>25470062.830882944</v>
      </c>
      <c r="M233" s="291"/>
      <c r="N233" s="291"/>
      <c r="O233" s="291"/>
      <c r="P233" s="291"/>
      <c r="Q233" s="291"/>
    </row>
    <row r="234" spans="1:17">
      <c r="A234" s="910"/>
      <c r="B234" s="930">
        <v>221</v>
      </c>
      <c r="C234" s="931">
        <f t="shared" si="22"/>
        <v>40018.910511238239</v>
      </c>
      <c r="D234" s="931">
        <f t="shared" si="21"/>
        <v>69596.780167635414</v>
      </c>
      <c r="E234" s="931">
        <f t="shared" si="23"/>
        <v>12243914.146367207</v>
      </c>
      <c r="F234" s="291"/>
      <c r="G234" s="293"/>
      <c r="H234" s="930">
        <v>220</v>
      </c>
      <c r="I234" s="930">
        <f t="shared" si="27"/>
        <v>255</v>
      </c>
      <c r="J234" s="931">
        <f t="shared" si="25"/>
        <v>127350.31415441471</v>
      </c>
      <c r="K234" s="931">
        <f t="shared" si="24"/>
        <v>99710.95310487719</v>
      </c>
      <c r="L234" s="933">
        <f t="shared" si="26"/>
        <v>25370351.877778068</v>
      </c>
      <c r="M234" s="291"/>
      <c r="N234" s="291"/>
      <c r="O234" s="291"/>
      <c r="P234" s="291"/>
      <c r="Q234" s="291"/>
    </row>
    <row r="235" spans="1:17">
      <c r="A235" s="910"/>
      <c r="B235" s="930">
        <v>222</v>
      </c>
      <c r="C235" s="931">
        <f t="shared" si="22"/>
        <v>39792.720975693424</v>
      </c>
      <c r="D235" s="931">
        <f t="shared" si="21"/>
        <v>69822.969703180221</v>
      </c>
      <c r="E235" s="931">
        <f t="shared" si="23"/>
        <v>12174091.176664026</v>
      </c>
      <c r="F235" s="291"/>
      <c r="G235" s="293"/>
      <c r="H235" s="930">
        <v>221</v>
      </c>
      <c r="I235" s="930">
        <f t="shared" si="27"/>
        <v>256</v>
      </c>
      <c r="J235" s="931">
        <f t="shared" si="25"/>
        <v>126851.75938889034</v>
      </c>
      <c r="K235" s="931">
        <f t="shared" si="24"/>
        <v>100209.50787040156</v>
      </c>
      <c r="L235" s="933">
        <f t="shared" si="26"/>
        <v>25270142.369907666</v>
      </c>
      <c r="M235" s="291"/>
      <c r="N235" s="291"/>
      <c r="O235" s="291"/>
      <c r="P235" s="291"/>
      <c r="Q235" s="291"/>
    </row>
    <row r="236" spans="1:17">
      <c r="A236" s="910"/>
      <c r="B236" s="930">
        <v>223</v>
      </c>
      <c r="C236" s="931">
        <f t="shared" si="22"/>
        <v>39565.796324158087</v>
      </c>
      <c r="D236" s="931">
        <f t="shared" si="21"/>
        <v>70049.894354715565</v>
      </c>
      <c r="E236" s="931">
        <f t="shared" si="23"/>
        <v>12104041.282309311</v>
      </c>
      <c r="F236" s="291"/>
      <c r="G236" s="293"/>
      <c r="H236" s="930">
        <v>222</v>
      </c>
      <c r="I236" s="930">
        <f t="shared" si="27"/>
        <v>257</v>
      </c>
      <c r="J236" s="931">
        <f t="shared" si="25"/>
        <v>126350.71184953832</v>
      </c>
      <c r="K236" s="931">
        <f t="shared" si="24"/>
        <v>100710.55540975358</v>
      </c>
      <c r="L236" s="933">
        <f t="shared" si="26"/>
        <v>25169431.814497914</v>
      </c>
      <c r="M236" s="291"/>
      <c r="N236" s="291"/>
      <c r="O236" s="291"/>
      <c r="P236" s="291"/>
      <c r="Q236" s="291"/>
    </row>
    <row r="237" spans="1:17">
      <c r="A237" s="910"/>
      <c r="B237" s="930">
        <v>224</v>
      </c>
      <c r="C237" s="931">
        <f t="shared" si="22"/>
        <v>39338.134167505261</v>
      </c>
      <c r="D237" s="931">
        <f t="shared" si="21"/>
        <v>70277.556511368399</v>
      </c>
      <c r="E237" s="931">
        <f t="shared" si="23"/>
        <v>12033763.725797942</v>
      </c>
      <c r="F237" s="291"/>
      <c r="G237" s="293"/>
      <c r="H237" s="930">
        <v>223</v>
      </c>
      <c r="I237" s="930">
        <f t="shared" si="27"/>
        <v>258</v>
      </c>
      <c r="J237" s="931">
        <f t="shared" si="25"/>
        <v>125847.15907248958</v>
      </c>
      <c r="K237" s="931">
        <f t="shared" si="24"/>
        <v>101214.10818680232</v>
      </c>
      <c r="L237" s="933">
        <f t="shared" si="26"/>
        <v>25068217.70631111</v>
      </c>
      <c r="M237" s="291"/>
      <c r="N237" s="291"/>
      <c r="O237" s="291"/>
      <c r="P237" s="291"/>
      <c r="Q237" s="291"/>
    </row>
    <row r="238" spans="1:17">
      <c r="A238" s="910"/>
      <c r="B238" s="930">
        <v>225</v>
      </c>
      <c r="C238" s="931">
        <f t="shared" si="22"/>
        <v>39109.732108843309</v>
      </c>
      <c r="D238" s="931">
        <f t="shared" si="21"/>
        <v>70505.958570030343</v>
      </c>
      <c r="E238" s="931">
        <f t="shared" si="23"/>
        <v>11963257.767227912</v>
      </c>
      <c r="F238" s="291"/>
      <c r="G238" s="293"/>
      <c r="H238" s="930">
        <v>224</v>
      </c>
      <c r="I238" s="930">
        <f t="shared" si="27"/>
        <v>259</v>
      </c>
      <c r="J238" s="931">
        <f t="shared" si="25"/>
        <v>125341.08853155555</v>
      </c>
      <c r="K238" s="931">
        <f t="shared" si="24"/>
        <v>101720.17872773635</v>
      </c>
      <c r="L238" s="933">
        <f t="shared" si="26"/>
        <v>24966497.527583376</v>
      </c>
      <c r="M238" s="291"/>
      <c r="N238" s="291"/>
      <c r="O238" s="291"/>
      <c r="P238" s="291"/>
      <c r="Q238" s="291"/>
    </row>
    <row r="239" spans="1:17">
      <c r="A239" s="910"/>
      <c r="B239" s="930">
        <v>226</v>
      </c>
      <c r="C239" s="931">
        <f t="shared" si="22"/>
        <v>38880.587743490716</v>
      </c>
      <c r="D239" s="931">
        <f t="shared" si="21"/>
        <v>70735.102935382936</v>
      </c>
      <c r="E239" s="931">
        <f t="shared" si="23"/>
        <v>11892522.664292529</v>
      </c>
      <c r="F239" s="291"/>
      <c r="G239" s="293"/>
      <c r="H239" s="930">
        <v>225</v>
      </c>
      <c r="I239" s="930">
        <f t="shared" si="27"/>
        <v>260</v>
      </c>
      <c r="J239" s="931">
        <f t="shared" si="25"/>
        <v>124832.48763791687</v>
      </c>
      <c r="K239" s="931">
        <f t="shared" si="24"/>
        <v>102228.77962137503</v>
      </c>
      <c r="L239" s="933">
        <f t="shared" si="26"/>
        <v>24864268.747962002</v>
      </c>
      <c r="M239" s="291"/>
      <c r="N239" s="291"/>
      <c r="O239" s="291"/>
      <c r="P239" s="291"/>
      <c r="Q239" s="291"/>
    </row>
    <row r="240" spans="1:17">
      <c r="A240" s="910"/>
      <c r="B240" s="930">
        <v>227</v>
      </c>
      <c r="C240" s="931">
        <f t="shared" si="22"/>
        <v>38650.698658950721</v>
      </c>
      <c r="D240" s="931">
        <f t="shared" si="21"/>
        <v>70964.992019922938</v>
      </c>
      <c r="E240" s="931">
        <f t="shared" si="23"/>
        <v>11821557.672272606</v>
      </c>
      <c r="F240" s="291"/>
      <c r="G240" s="293"/>
      <c r="H240" s="930">
        <v>226</v>
      </c>
      <c r="I240" s="930">
        <f t="shared" si="27"/>
        <v>261</v>
      </c>
      <c r="J240" s="931">
        <f t="shared" si="25"/>
        <v>124321.34373981001</v>
      </c>
      <c r="K240" s="931">
        <f t="shared" si="24"/>
        <v>102739.92351948189</v>
      </c>
      <c r="L240" s="933">
        <f t="shared" si="26"/>
        <v>24761528.824442521</v>
      </c>
      <c r="M240" s="291"/>
      <c r="N240" s="291"/>
      <c r="O240" s="291"/>
      <c r="P240" s="291"/>
      <c r="Q240" s="291"/>
    </row>
    <row r="241" spans="1:17">
      <c r="A241" s="929">
        <v>20</v>
      </c>
      <c r="B241" s="930">
        <v>228</v>
      </c>
      <c r="C241" s="931">
        <f t="shared" si="22"/>
        <v>38420.062434885971</v>
      </c>
      <c r="D241" s="931">
        <f t="shared" si="21"/>
        <v>71195.628243987681</v>
      </c>
      <c r="E241" s="931">
        <f t="shared" si="23"/>
        <v>11750362.044028617</v>
      </c>
      <c r="F241" s="291"/>
      <c r="G241" s="293"/>
      <c r="H241" s="930">
        <v>227</v>
      </c>
      <c r="I241" s="930">
        <f t="shared" si="27"/>
        <v>262</v>
      </c>
      <c r="J241" s="931">
        <f t="shared" si="25"/>
        <v>123807.6441222126</v>
      </c>
      <c r="K241" s="931">
        <f t="shared" si="24"/>
        <v>103253.6231370793</v>
      </c>
      <c r="L241" s="933">
        <f t="shared" si="26"/>
        <v>24658275.201305442</v>
      </c>
      <c r="M241" s="291"/>
      <c r="N241" s="291"/>
      <c r="O241" s="291"/>
      <c r="P241" s="291"/>
      <c r="Q241" s="291"/>
    </row>
    <row r="242" spans="1:17">
      <c r="A242" s="910"/>
      <c r="B242" s="930">
        <v>229</v>
      </c>
      <c r="C242" s="931">
        <f t="shared" si="22"/>
        <v>38188.676643093007</v>
      </c>
      <c r="D242" s="931">
        <f t="shared" si="21"/>
        <v>71427.014035780652</v>
      </c>
      <c r="E242" s="931">
        <f t="shared" si="23"/>
        <v>11678935.029992837</v>
      </c>
      <c r="F242" s="291"/>
      <c r="G242" s="293"/>
      <c r="H242" s="930">
        <v>228</v>
      </c>
      <c r="I242" s="930">
        <f t="shared" si="27"/>
        <v>263</v>
      </c>
      <c r="J242" s="931">
        <f t="shared" si="25"/>
        <v>123291.37600652721</v>
      </c>
      <c r="K242" s="931">
        <f t="shared" si="24"/>
        <v>103769.89125276469</v>
      </c>
      <c r="L242" s="933">
        <f t="shared" si="26"/>
        <v>24554505.310052678</v>
      </c>
      <c r="M242" s="291"/>
      <c r="N242" s="291"/>
      <c r="O242" s="291"/>
      <c r="P242" s="291"/>
      <c r="Q242" s="291"/>
    </row>
    <row r="243" spans="1:17">
      <c r="A243" s="910"/>
      <c r="B243" s="930">
        <v>230</v>
      </c>
      <c r="C243" s="931">
        <f t="shared" si="22"/>
        <v>37956.538847476717</v>
      </c>
      <c r="D243" s="931">
        <f t="shared" si="21"/>
        <v>71659.151831396943</v>
      </c>
      <c r="E243" s="931">
        <f t="shared" si="23"/>
        <v>11607275.87816144</v>
      </c>
      <c r="F243" s="291"/>
      <c r="G243" s="293"/>
      <c r="H243" s="930">
        <v>229</v>
      </c>
      <c r="I243" s="930">
        <f t="shared" si="27"/>
        <v>264</v>
      </c>
      <c r="J243" s="931">
        <f t="shared" si="25"/>
        <v>122772.52655026338</v>
      </c>
      <c r="K243" s="931">
        <f t="shared" si="24"/>
        <v>104288.74070902851</v>
      </c>
      <c r="L243" s="933">
        <f t="shared" si="26"/>
        <v>24450216.569343649</v>
      </c>
      <c r="M243" s="291"/>
      <c r="N243" s="291"/>
      <c r="O243" s="291"/>
      <c r="P243" s="291"/>
      <c r="Q243" s="291"/>
    </row>
    <row r="244" spans="1:17">
      <c r="A244" s="910"/>
      <c r="B244" s="930">
        <v>231</v>
      </c>
      <c r="C244" s="931">
        <f t="shared" si="22"/>
        <v>37723.646604024681</v>
      </c>
      <c r="D244" s="931">
        <f t="shared" si="21"/>
        <v>71892.044074848964</v>
      </c>
      <c r="E244" s="931">
        <f t="shared" si="23"/>
        <v>11535383.834086591</v>
      </c>
      <c r="F244" s="291"/>
      <c r="G244" s="293"/>
      <c r="H244" s="930">
        <v>230</v>
      </c>
      <c r="I244" s="930">
        <f t="shared" si="27"/>
        <v>265</v>
      </c>
      <c r="J244" s="931">
        <f t="shared" si="25"/>
        <v>122251.08284671824</v>
      </c>
      <c r="K244" s="931">
        <f t="shared" si="24"/>
        <v>104810.18441257365</v>
      </c>
      <c r="L244" s="933">
        <f t="shared" si="26"/>
        <v>24345406.384931076</v>
      </c>
      <c r="M244" s="291"/>
      <c r="N244" s="291"/>
      <c r="O244" s="291"/>
      <c r="P244" s="291"/>
      <c r="Q244" s="291"/>
    </row>
    <row r="245" spans="1:17">
      <c r="A245" s="910"/>
      <c r="B245" s="930">
        <v>232</v>
      </c>
      <c r="C245" s="931">
        <f t="shared" si="22"/>
        <v>37489.997460781422</v>
      </c>
      <c r="D245" s="931">
        <f t="shared" si="21"/>
        <v>72125.69321809223</v>
      </c>
      <c r="E245" s="931">
        <f t="shared" si="23"/>
        <v>11463258.1408685</v>
      </c>
      <c r="F245" s="291"/>
      <c r="G245" s="293"/>
      <c r="H245" s="930">
        <v>231</v>
      </c>
      <c r="I245" s="930">
        <f t="shared" si="27"/>
        <v>266</v>
      </c>
      <c r="J245" s="931">
        <f t="shared" si="25"/>
        <v>121727.03192465537</v>
      </c>
      <c r="K245" s="931">
        <f t="shared" si="24"/>
        <v>105334.23533463653</v>
      </c>
      <c r="L245" s="933">
        <f t="shared" si="26"/>
        <v>24240072.149596442</v>
      </c>
      <c r="M245" s="291"/>
      <c r="N245" s="291"/>
      <c r="O245" s="291"/>
      <c r="P245" s="291"/>
      <c r="Q245" s="291"/>
    </row>
    <row r="246" spans="1:17">
      <c r="A246" s="910"/>
      <c r="B246" s="930">
        <v>233</v>
      </c>
      <c r="C246" s="931">
        <f t="shared" si="22"/>
        <v>37255.588957822627</v>
      </c>
      <c r="D246" s="931">
        <f t="shared" si="21"/>
        <v>72360.101721051033</v>
      </c>
      <c r="E246" s="931">
        <f t="shared" si="23"/>
        <v>11390898.03914745</v>
      </c>
      <c r="F246" s="291"/>
      <c r="G246" s="293"/>
      <c r="H246" s="930">
        <v>232</v>
      </c>
      <c r="I246" s="930">
        <f t="shared" si="27"/>
        <v>267</v>
      </c>
      <c r="J246" s="931">
        <f t="shared" si="25"/>
        <v>121200.36074798221</v>
      </c>
      <c r="K246" s="931">
        <f t="shared" si="24"/>
        <v>105860.90651130969</v>
      </c>
      <c r="L246" s="933">
        <f t="shared" si="26"/>
        <v>24134211.243085131</v>
      </c>
      <c r="M246" s="291"/>
      <c r="N246" s="291"/>
      <c r="O246" s="291"/>
      <c r="P246" s="291"/>
      <c r="Q246" s="291"/>
    </row>
    <row r="247" spans="1:17">
      <c r="A247" s="910"/>
      <c r="B247" s="930">
        <v>234</v>
      </c>
      <c r="C247" s="931">
        <f t="shared" si="22"/>
        <v>37020.418627229214</v>
      </c>
      <c r="D247" s="931">
        <f t="shared" si="21"/>
        <v>72595.272051644439</v>
      </c>
      <c r="E247" s="931">
        <f t="shared" si="23"/>
        <v>11318302.767095806</v>
      </c>
      <c r="F247" s="291"/>
      <c r="G247" s="293"/>
      <c r="H247" s="930">
        <v>233</v>
      </c>
      <c r="I247" s="930">
        <f t="shared" si="27"/>
        <v>268</v>
      </c>
      <c r="J247" s="931">
        <f t="shared" si="25"/>
        <v>120671.05621542565</v>
      </c>
      <c r="K247" s="931">
        <f t="shared" si="24"/>
        <v>106390.21104386625</v>
      </c>
      <c r="L247" s="933">
        <f t="shared" si="26"/>
        <v>24027821.032041267</v>
      </c>
      <c r="M247" s="291"/>
      <c r="N247" s="291"/>
      <c r="O247" s="291"/>
      <c r="P247" s="291"/>
      <c r="Q247" s="291"/>
    </row>
    <row r="248" spans="1:17">
      <c r="A248" s="910"/>
      <c r="B248" s="930">
        <v>235</v>
      </c>
      <c r="C248" s="931">
        <f t="shared" si="22"/>
        <v>36784.483993061374</v>
      </c>
      <c r="D248" s="931">
        <f t="shared" si="21"/>
        <v>72831.206685812271</v>
      </c>
      <c r="E248" s="931">
        <f t="shared" si="23"/>
        <v>11245471.560409993</v>
      </c>
      <c r="F248" s="291"/>
      <c r="G248" s="293"/>
      <c r="H248" s="930">
        <v>234</v>
      </c>
      <c r="I248" s="930">
        <f t="shared" si="27"/>
        <v>269</v>
      </c>
      <c r="J248" s="931">
        <f t="shared" si="25"/>
        <v>120139.10516020632</v>
      </c>
      <c r="K248" s="931">
        <f t="shared" si="24"/>
        <v>106922.16209908557</v>
      </c>
      <c r="L248" s="933">
        <f t="shared" si="26"/>
        <v>23920898.869942181</v>
      </c>
      <c r="M248" s="291"/>
      <c r="N248" s="291"/>
      <c r="O248" s="291"/>
      <c r="P248" s="291"/>
      <c r="Q248" s="291"/>
    </row>
    <row r="249" spans="1:17">
      <c r="A249" s="910"/>
      <c r="B249" s="930">
        <v>236</v>
      </c>
      <c r="C249" s="931">
        <f t="shared" si="22"/>
        <v>36547.782571332478</v>
      </c>
      <c r="D249" s="931">
        <f t="shared" si="21"/>
        <v>73067.908107541181</v>
      </c>
      <c r="E249" s="931">
        <f t="shared" si="23"/>
        <v>11172403.652302451</v>
      </c>
      <c r="F249" s="291"/>
      <c r="G249" s="293"/>
      <c r="H249" s="930">
        <v>235</v>
      </c>
      <c r="I249" s="930">
        <f t="shared" si="27"/>
        <v>270</v>
      </c>
      <c r="J249" s="931">
        <f t="shared" si="25"/>
        <v>119604.49434971089</v>
      </c>
      <c r="K249" s="931">
        <f t="shared" si="24"/>
        <v>107456.77290958101</v>
      </c>
      <c r="L249" s="933">
        <f t="shared" si="26"/>
        <v>23813442.097032599</v>
      </c>
      <c r="M249" s="291"/>
      <c r="N249" s="291"/>
      <c r="O249" s="291"/>
      <c r="P249" s="291"/>
      <c r="Q249" s="291"/>
    </row>
    <row r="250" spans="1:17">
      <c r="A250" s="910"/>
      <c r="B250" s="930">
        <v>237</v>
      </c>
      <c r="C250" s="931">
        <f t="shared" si="22"/>
        <v>36310.311869982965</v>
      </c>
      <c r="D250" s="931">
        <f t="shared" si="21"/>
        <v>73305.378808890688</v>
      </c>
      <c r="E250" s="931">
        <f t="shared" si="23"/>
        <v>11099098.27349356</v>
      </c>
      <c r="F250" s="291"/>
      <c r="G250" s="293"/>
      <c r="H250" s="930">
        <v>236</v>
      </c>
      <c r="I250" s="930">
        <f t="shared" si="27"/>
        <v>271</v>
      </c>
      <c r="J250" s="931">
        <f t="shared" si="25"/>
        <v>119067.21048516298</v>
      </c>
      <c r="K250" s="931">
        <f t="shared" si="24"/>
        <v>107994.05677412891</v>
      </c>
      <c r="L250" s="933">
        <f t="shared" si="26"/>
        <v>23705448.040258471</v>
      </c>
      <c r="M250" s="291"/>
      <c r="N250" s="291"/>
      <c r="O250" s="291"/>
      <c r="P250" s="291"/>
      <c r="Q250" s="291"/>
    </row>
    <row r="251" spans="1:17">
      <c r="A251" s="910"/>
      <c r="B251" s="930">
        <v>238</v>
      </c>
      <c r="C251" s="931">
        <f t="shared" si="22"/>
        <v>36072.06938885407</v>
      </c>
      <c r="D251" s="931">
        <f t="shared" si="21"/>
        <v>73543.621290019582</v>
      </c>
      <c r="E251" s="931">
        <f t="shared" si="23"/>
        <v>11025554.652203541</v>
      </c>
      <c r="F251" s="291"/>
      <c r="G251" s="293"/>
      <c r="H251" s="930">
        <v>237</v>
      </c>
      <c r="I251" s="930">
        <f t="shared" si="27"/>
        <v>272</v>
      </c>
      <c r="J251" s="931">
        <f t="shared" si="25"/>
        <v>118527.24020129234</v>
      </c>
      <c r="K251" s="931">
        <f t="shared" si="24"/>
        <v>108534.02705799956</v>
      </c>
      <c r="L251" s="933">
        <f t="shared" si="26"/>
        <v>23596914.013200473</v>
      </c>
      <c r="M251" s="291"/>
      <c r="N251" s="291"/>
      <c r="O251" s="291"/>
      <c r="P251" s="291"/>
      <c r="Q251" s="291"/>
    </row>
    <row r="252" spans="1:17">
      <c r="A252" s="910"/>
      <c r="B252" s="930">
        <v>239</v>
      </c>
      <c r="C252" s="931">
        <f t="shared" si="22"/>
        <v>35833.05261966151</v>
      </c>
      <c r="D252" s="931">
        <f t="shared" si="21"/>
        <v>73782.638059212142</v>
      </c>
      <c r="E252" s="931">
        <f t="shared" si="23"/>
        <v>10951772.014144329</v>
      </c>
      <c r="F252" s="291"/>
      <c r="G252" s="293"/>
      <c r="H252" s="930">
        <v>238</v>
      </c>
      <c r="I252" s="930">
        <f t="shared" si="27"/>
        <v>273</v>
      </c>
      <c r="J252" s="931">
        <f t="shared" si="25"/>
        <v>117984.57006600236</v>
      </c>
      <c r="K252" s="931">
        <f t="shared" si="24"/>
        <v>109076.69719328954</v>
      </c>
      <c r="L252" s="933">
        <f t="shared" si="26"/>
        <v>23487837.316007182</v>
      </c>
      <c r="M252" s="291"/>
      <c r="N252" s="291"/>
      <c r="O252" s="291"/>
      <c r="P252" s="291"/>
      <c r="Q252" s="291"/>
    </row>
    <row r="253" spans="1:17">
      <c r="A253" s="929">
        <v>21</v>
      </c>
      <c r="B253" s="930">
        <v>240</v>
      </c>
      <c r="C253" s="931">
        <f t="shared" si="22"/>
        <v>35593.259045969069</v>
      </c>
      <c r="D253" s="931">
        <f t="shared" si="21"/>
        <v>74022.431632904583</v>
      </c>
      <c r="E253" s="931">
        <f t="shared" si="23"/>
        <v>10877749.582511425</v>
      </c>
      <c r="F253" s="291"/>
      <c r="G253" s="293"/>
      <c r="H253" s="930">
        <v>239</v>
      </c>
      <c r="I253" s="930">
        <f t="shared" si="27"/>
        <v>274</v>
      </c>
      <c r="J253" s="931">
        <f t="shared" si="25"/>
        <v>117439.18658003591</v>
      </c>
      <c r="K253" s="931">
        <f t="shared" si="24"/>
        <v>109622.08067925599</v>
      </c>
      <c r="L253" s="933">
        <f t="shared" si="26"/>
        <v>23378215.235327926</v>
      </c>
      <c r="M253" s="291"/>
      <c r="N253" s="291"/>
      <c r="O253" s="291"/>
      <c r="P253" s="291"/>
      <c r="Q253" s="291"/>
    </row>
    <row r="254" spans="1:17">
      <c r="A254" s="910"/>
      <c r="B254" s="930">
        <v>241</v>
      </c>
      <c r="C254" s="931">
        <f t="shared" si="22"/>
        <v>35352.686143162129</v>
      </c>
      <c r="D254" s="931">
        <f t="shared" si="21"/>
        <v>74263.004535711516</v>
      </c>
      <c r="E254" s="931">
        <f t="shared" si="23"/>
        <v>10803486.577975713</v>
      </c>
      <c r="F254" s="291"/>
      <c r="G254" s="293"/>
      <c r="H254" s="930">
        <v>240</v>
      </c>
      <c r="I254" s="930">
        <f t="shared" si="27"/>
        <v>275</v>
      </c>
      <c r="J254" s="931">
        <f t="shared" si="25"/>
        <v>116891.07617663963</v>
      </c>
      <c r="K254" s="931">
        <f t="shared" si="24"/>
        <v>110170.19108265227</v>
      </c>
      <c r="L254" s="933">
        <f t="shared" si="26"/>
        <v>23268045.044245273</v>
      </c>
      <c r="M254" s="291"/>
      <c r="N254" s="291"/>
      <c r="O254" s="291"/>
      <c r="P254" s="291"/>
      <c r="Q254" s="291"/>
    </row>
    <row r="255" spans="1:17">
      <c r="A255" s="910"/>
      <c r="B255" s="930">
        <v>242</v>
      </c>
      <c r="C255" s="931">
        <f t="shared" si="22"/>
        <v>35111.33137842107</v>
      </c>
      <c r="D255" s="931">
        <f t="shared" si="21"/>
        <v>74504.359300452576</v>
      </c>
      <c r="E255" s="931">
        <f t="shared" si="23"/>
        <v>10728982.21867526</v>
      </c>
      <c r="F255" s="291"/>
      <c r="G255" s="293"/>
      <c r="H255" s="930">
        <v>241</v>
      </c>
      <c r="I255" s="930">
        <f t="shared" si="27"/>
        <v>276</v>
      </c>
      <c r="J255" s="931">
        <f t="shared" si="25"/>
        <v>116340.22522122636</v>
      </c>
      <c r="K255" s="931">
        <f t="shared" si="24"/>
        <v>110721.04203806554</v>
      </c>
      <c r="L255" s="933">
        <f t="shared" si="26"/>
        <v>23157324.002207208</v>
      </c>
      <c r="M255" s="291"/>
      <c r="N255" s="291"/>
      <c r="O255" s="291"/>
      <c r="P255" s="291"/>
      <c r="Q255" s="291"/>
    </row>
    <row r="256" spans="1:17">
      <c r="A256" s="910"/>
      <c r="B256" s="930">
        <v>243</v>
      </c>
      <c r="C256" s="931">
        <f t="shared" si="22"/>
        <v>34869.192210694593</v>
      </c>
      <c r="D256" s="931">
        <f t="shared" si="21"/>
        <v>74746.498468179052</v>
      </c>
      <c r="E256" s="931">
        <f t="shared" si="23"/>
        <v>10654235.72020708</v>
      </c>
      <c r="F256" s="291"/>
      <c r="G256" s="293"/>
      <c r="H256" s="930">
        <v>242</v>
      </c>
      <c r="I256" s="930">
        <f t="shared" si="27"/>
        <v>277</v>
      </c>
      <c r="J256" s="931">
        <f t="shared" si="25"/>
        <v>115786.62001103604</v>
      </c>
      <c r="K256" s="931">
        <f t="shared" si="24"/>
        <v>111274.64724825586</v>
      </c>
      <c r="L256" s="933">
        <f t="shared" si="26"/>
        <v>23046049.354958951</v>
      </c>
      <c r="M256" s="291"/>
      <c r="N256" s="291"/>
      <c r="O256" s="291"/>
      <c r="P256" s="291"/>
      <c r="Q256" s="291"/>
    </row>
    <row r="257" spans="1:17">
      <c r="A257" s="910"/>
      <c r="B257" s="930">
        <v>244</v>
      </c>
      <c r="C257" s="931">
        <f t="shared" si="22"/>
        <v>34626.266090673009</v>
      </c>
      <c r="D257" s="931">
        <f t="shared" si="21"/>
        <v>74989.424588200636</v>
      </c>
      <c r="E257" s="931">
        <f t="shared" si="23"/>
        <v>10579246.295618881</v>
      </c>
      <c r="F257" s="291"/>
      <c r="G257" s="293"/>
      <c r="H257" s="930">
        <v>243</v>
      </c>
      <c r="I257" s="930">
        <f t="shared" si="27"/>
        <v>278</v>
      </c>
      <c r="J257" s="931">
        <f t="shared" si="25"/>
        <v>115230.24677479475</v>
      </c>
      <c r="K257" s="931">
        <f t="shared" si="24"/>
        <v>111831.02048449714</v>
      </c>
      <c r="L257" s="933">
        <f t="shared" si="26"/>
        <v>22934218.334474456</v>
      </c>
      <c r="M257" s="291"/>
      <c r="N257" s="291"/>
      <c r="O257" s="291"/>
      <c r="P257" s="291"/>
      <c r="Q257" s="291"/>
    </row>
    <row r="258" spans="1:17">
      <c r="A258" s="910"/>
      <c r="B258" s="930">
        <v>245</v>
      </c>
      <c r="C258" s="931">
        <f t="shared" si="22"/>
        <v>34382.550460761362</v>
      </c>
      <c r="D258" s="931">
        <f t="shared" si="21"/>
        <v>75233.140218112298</v>
      </c>
      <c r="E258" s="931">
        <f t="shared" si="23"/>
        <v>10504013.155400768</v>
      </c>
      <c r="F258" s="291"/>
      <c r="G258" s="293"/>
      <c r="H258" s="930">
        <v>244</v>
      </c>
      <c r="I258" s="930">
        <f t="shared" si="27"/>
        <v>279</v>
      </c>
      <c r="J258" s="931">
        <f t="shared" si="25"/>
        <v>114671.09167237226</v>
      </c>
      <c r="K258" s="931">
        <f t="shared" si="24"/>
        <v>112390.17558691963</v>
      </c>
      <c r="L258" s="933">
        <f t="shared" si="26"/>
        <v>22821828.158887535</v>
      </c>
      <c r="M258" s="291"/>
      <c r="N258" s="291"/>
      <c r="O258" s="291"/>
      <c r="P258" s="291"/>
      <c r="Q258" s="291"/>
    </row>
    <row r="259" spans="1:17">
      <c r="A259" s="910"/>
      <c r="B259" s="930">
        <v>246</v>
      </c>
      <c r="C259" s="931">
        <f t="shared" si="22"/>
        <v>34138.042755052498</v>
      </c>
      <c r="D259" s="931">
        <f t="shared" si="21"/>
        <v>75477.647923821147</v>
      </c>
      <c r="E259" s="931">
        <f t="shared" si="23"/>
        <v>10428535.507476946</v>
      </c>
      <c r="F259" s="291"/>
      <c r="G259" s="293"/>
      <c r="H259" s="930">
        <v>245</v>
      </c>
      <c r="I259" s="930">
        <f t="shared" si="27"/>
        <v>280</v>
      </c>
      <c r="J259" s="931">
        <f t="shared" si="25"/>
        <v>114109.14079443767</v>
      </c>
      <c r="K259" s="931">
        <f t="shared" si="24"/>
        <v>112952.12646485423</v>
      </c>
      <c r="L259" s="933">
        <f t="shared" si="26"/>
        <v>22708876.03242268</v>
      </c>
      <c r="M259" s="291"/>
      <c r="N259" s="291"/>
      <c r="O259" s="291"/>
      <c r="P259" s="291"/>
      <c r="Q259" s="291"/>
    </row>
    <row r="260" spans="1:17">
      <c r="A260" s="910"/>
      <c r="B260" s="930">
        <v>247</v>
      </c>
      <c r="C260" s="931">
        <f t="shared" si="22"/>
        <v>33892.740399300077</v>
      </c>
      <c r="D260" s="931">
        <f t="shared" si="21"/>
        <v>75722.950279573575</v>
      </c>
      <c r="E260" s="931">
        <f t="shared" si="23"/>
        <v>10352812.557197373</v>
      </c>
      <c r="F260" s="291"/>
      <c r="G260" s="293"/>
      <c r="H260" s="930">
        <v>246</v>
      </c>
      <c r="I260" s="930">
        <f t="shared" si="27"/>
        <v>281</v>
      </c>
      <c r="J260" s="931">
        <f t="shared" si="25"/>
        <v>113544.3801621134</v>
      </c>
      <c r="K260" s="931">
        <f t="shared" si="24"/>
        <v>113516.88709717849</v>
      </c>
      <c r="L260" s="933">
        <f t="shared" si="26"/>
        <v>22595359.145325501</v>
      </c>
      <c r="M260" s="291"/>
      <c r="N260" s="291"/>
      <c r="O260" s="291"/>
      <c r="P260" s="291"/>
      <c r="Q260" s="291"/>
    </row>
    <row r="261" spans="1:17">
      <c r="A261" s="910"/>
      <c r="B261" s="930">
        <v>248</v>
      </c>
      <c r="C261" s="931">
        <f t="shared" si="22"/>
        <v>33646.640810891462</v>
      </c>
      <c r="D261" s="931">
        <f t="shared" si="21"/>
        <v>75969.04986798219</v>
      </c>
      <c r="E261" s="931">
        <f t="shared" si="23"/>
        <v>10276843.507329391</v>
      </c>
      <c r="F261" s="291"/>
      <c r="G261" s="293"/>
      <c r="H261" s="930">
        <v>247</v>
      </c>
      <c r="I261" s="930">
        <f t="shared" si="27"/>
        <v>282</v>
      </c>
      <c r="J261" s="931">
        <f t="shared" si="25"/>
        <v>112976.7957266275</v>
      </c>
      <c r="K261" s="931">
        <f t="shared" si="24"/>
        <v>114084.47153266439</v>
      </c>
      <c r="L261" s="933">
        <f t="shared" si="26"/>
        <v>22481274.673792835</v>
      </c>
      <c r="M261" s="291"/>
      <c r="N261" s="291"/>
      <c r="O261" s="291"/>
      <c r="P261" s="291"/>
      <c r="Q261" s="291"/>
    </row>
    <row r="262" spans="1:17">
      <c r="A262" s="910"/>
      <c r="B262" s="930">
        <v>249</v>
      </c>
      <c r="C262" s="931">
        <f t="shared" si="22"/>
        <v>33399.741398820523</v>
      </c>
      <c r="D262" s="931">
        <f t="shared" si="21"/>
        <v>76215.94928005313</v>
      </c>
      <c r="E262" s="931">
        <f t="shared" si="23"/>
        <v>10200627.558049338</v>
      </c>
      <c r="F262" s="291"/>
      <c r="G262" s="293"/>
      <c r="H262" s="930">
        <v>248</v>
      </c>
      <c r="I262" s="930">
        <f t="shared" si="27"/>
        <v>283</v>
      </c>
      <c r="J262" s="931">
        <f t="shared" si="25"/>
        <v>112406.37336896418</v>
      </c>
      <c r="K262" s="931">
        <f t="shared" si="24"/>
        <v>114654.89389032772</v>
      </c>
      <c r="L262" s="933">
        <f t="shared" si="26"/>
        <v>22366619.779902507</v>
      </c>
      <c r="M262" s="291"/>
      <c r="N262" s="291"/>
      <c r="O262" s="291"/>
      <c r="P262" s="291"/>
      <c r="Q262" s="291"/>
    </row>
    <row r="263" spans="1:17">
      <c r="A263" s="910"/>
      <c r="B263" s="930">
        <v>250</v>
      </c>
      <c r="C263" s="931">
        <f t="shared" si="22"/>
        <v>33152.03956366035</v>
      </c>
      <c r="D263" s="931">
        <f t="shared" si="21"/>
        <v>76463.651115213303</v>
      </c>
      <c r="E263" s="931">
        <f t="shared" si="23"/>
        <v>10124163.906934125</v>
      </c>
      <c r="F263" s="291"/>
      <c r="G263" s="293"/>
      <c r="H263" s="930">
        <v>249</v>
      </c>
      <c r="I263" s="930">
        <f t="shared" si="27"/>
        <v>284</v>
      </c>
      <c r="J263" s="931">
        <f t="shared" si="25"/>
        <v>111833.09889951254</v>
      </c>
      <c r="K263" s="931">
        <f t="shared" si="24"/>
        <v>115228.16835977936</v>
      </c>
      <c r="L263" s="933">
        <f t="shared" si="26"/>
        <v>22251391.611542728</v>
      </c>
      <c r="M263" s="291"/>
      <c r="N263" s="291"/>
      <c r="O263" s="291"/>
      <c r="P263" s="291"/>
      <c r="Q263" s="291"/>
    </row>
    <row r="264" spans="1:17">
      <c r="A264" s="910"/>
      <c r="B264" s="930">
        <v>251</v>
      </c>
      <c r="C264" s="931">
        <f t="shared" si="22"/>
        <v>32903.532697535906</v>
      </c>
      <c r="D264" s="931">
        <f t="shared" si="21"/>
        <v>76712.157981337747</v>
      </c>
      <c r="E264" s="931">
        <f t="shared" si="23"/>
        <v>10047451.748952787</v>
      </c>
      <c r="F264" s="935"/>
      <c r="G264" s="293"/>
      <c r="H264" s="930">
        <v>250</v>
      </c>
      <c r="I264" s="930">
        <f t="shared" si="27"/>
        <v>285</v>
      </c>
      <c r="J264" s="931">
        <f t="shared" si="25"/>
        <v>111256.95805771364</v>
      </c>
      <c r="K264" s="931">
        <f t="shared" si="24"/>
        <v>115804.30920157826</v>
      </c>
      <c r="L264" s="933">
        <f t="shared" si="26"/>
        <v>22135587.302341148</v>
      </c>
      <c r="M264" s="291"/>
      <c r="N264" s="291"/>
      <c r="O264" s="291"/>
      <c r="P264" s="291"/>
      <c r="Q264" s="291"/>
    </row>
    <row r="265" spans="1:17">
      <c r="A265" s="929">
        <v>22</v>
      </c>
      <c r="B265" s="930">
        <v>252</v>
      </c>
      <c r="C265" s="931">
        <f t="shared" si="22"/>
        <v>32654.21818409656</v>
      </c>
      <c r="D265" s="931">
        <f t="shared" si="21"/>
        <v>76961.472494777088</v>
      </c>
      <c r="E265" s="931">
        <f t="shared" si="23"/>
        <v>9970490.2764580101</v>
      </c>
      <c r="F265" s="291"/>
      <c r="G265" s="293"/>
      <c r="H265" s="930">
        <v>251</v>
      </c>
      <c r="I265" s="930">
        <f t="shared" si="27"/>
        <v>286</v>
      </c>
      <c r="J265" s="931">
        <f t="shared" si="25"/>
        <v>110677.93651170575</v>
      </c>
      <c r="K265" s="931">
        <f t="shared" si="24"/>
        <v>116383.33074758615</v>
      </c>
      <c r="L265" s="933">
        <f t="shared" si="26"/>
        <v>22019203.971593563</v>
      </c>
      <c r="M265" s="291"/>
      <c r="N265" s="291"/>
      <c r="O265" s="291"/>
      <c r="P265" s="291"/>
      <c r="Q265" s="291"/>
    </row>
    <row r="266" spans="1:17">
      <c r="A266" s="910"/>
      <c r="B266" s="930">
        <v>253</v>
      </c>
      <c r="C266" s="931">
        <f t="shared" si="22"/>
        <v>32404.093398488534</v>
      </c>
      <c r="D266" s="931">
        <f t="shared" si="21"/>
        <v>77211.597280385118</v>
      </c>
      <c r="E266" s="931">
        <f t="shared" si="23"/>
        <v>9893278.6791776251</v>
      </c>
      <c r="F266" s="291"/>
      <c r="G266" s="293"/>
      <c r="H266" s="930">
        <v>252</v>
      </c>
      <c r="I266" s="930">
        <f t="shared" si="27"/>
        <v>287</v>
      </c>
      <c r="J266" s="931">
        <f t="shared" si="25"/>
        <v>110096.01985796781</v>
      </c>
      <c r="K266" s="931">
        <f t="shared" si="24"/>
        <v>116965.24740132409</v>
      </c>
      <c r="L266" s="933">
        <f t="shared" si="26"/>
        <v>21902238.724192239</v>
      </c>
      <c r="M266" s="291"/>
      <c r="N266" s="291"/>
      <c r="O266" s="291"/>
      <c r="P266" s="291"/>
      <c r="Q266" s="291"/>
    </row>
    <row r="267" spans="1:17">
      <c r="A267" s="910"/>
      <c r="B267" s="930">
        <v>254</v>
      </c>
      <c r="C267" s="931">
        <f t="shared" si="22"/>
        <v>32153.155707327282</v>
      </c>
      <c r="D267" s="931">
        <f t="shared" si="21"/>
        <v>77462.534971546367</v>
      </c>
      <c r="E267" s="931">
        <f t="shared" si="23"/>
        <v>9815816.1442060787</v>
      </c>
      <c r="F267" s="935"/>
      <c r="G267" s="293"/>
      <c r="H267" s="930">
        <v>253</v>
      </c>
      <c r="I267" s="930">
        <f t="shared" si="27"/>
        <v>288</v>
      </c>
      <c r="J267" s="931">
        <f t="shared" si="25"/>
        <v>109511.1936209612</v>
      </c>
      <c r="K267" s="931">
        <f t="shared" si="24"/>
        <v>117550.07363833069</v>
      </c>
      <c r="L267" s="933">
        <f t="shared" si="26"/>
        <v>21784688.650553908</v>
      </c>
      <c r="M267" s="291"/>
      <c r="N267" s="291"/>
      <c r="O267" s="291"/>
      <c r="P267" s="291"/>
      <c r="Q267" s="291"/>
    </row>
    <row r="268" spans="1:17">
      <c r="A268" s="910"/>
      <c r="B268" s="930">
        <v>255</v>
      </c>
      <c r="C268" s="931">
        <f t="shared" si="22"/>
        <v>31901.402468669756</v>
      </c>
      <c r="D268" s="931">
        <f t="shared" si="21"/>
        <v>77714.2882102039</v>
      </c>
      <c r="E268" s="931">
        <f t="shared" si="23"/>
        <v>9738101.8559958749</v>
      </c>
      <c r="F268" s="291"/>
      <c r="G268" s="293"/>
      <c r="H268" s="930">
        <v>254</v>
      </c>
      <c r="I268" s="930">
        <f t="shared" si="27"/>
        <v>289</v>
      </c>
      <c r="J268" s="931">
        <f t="shared" si="25"/>
        <v>108923.44325276953</v>
      </c>
      <c r="K268" s="931">
        <f t="shared" si="24"/>
        <v>118137.82400652237</v>
      </c>
      <c r="L268" s="933">
        <f t="shared" si="26"/>
        <v>21666550.826547384</v>
      </c>
      <c r="M268" s="291"/>
      <c r="N268" s="291"/>
      <c r="O268" s="291"/>
      <c r="P268" s="291"/>
      <c r="Q268" s="291"/>
    </row>
    <row r="269" spans="1:17">
      <c r="A269" s="910"/>
      <c r="B269" s="930">
        <v>256</v>
      </c>
      <c r="C269" s="931">
        <f t="shared" si="22"/>
        <v>31648.831031986596</v>
      </c>
      <c r="D269" s="931">
        <f t="shared" si="21"/>
        <v>77966.859646887053</v>
      </c>
      <c r="E269" s="931">
        <f t="shared" si="23"/>
        <v>9660134.9963489883</v>
      </c>
      <c r="F269" s="291"/>
      <c r="G269" s="293"/>
      <c r="H269" s="930">
        <v>255</v>
      </c>
      <c r="I269" s="930">
        <f t="shared" si="27"/>
        <v>290</v>
      </c>
      <c r="J269" s="931">
        <f t="shared" si="25"/>
        <v>108332.75413273693</v>
      </c>
      <c r="K269" s="931">
        <f t="shared" si="24"/>
        <v>118728.51312655497</v>
      </c>
      <c r="L269" s="933">
        <f t="shared" si="26"/>
        <v>21547822.313420828</v>
      </c>
      <c r="M269" s="291"/>
      <c r="N269" s="291"/>
      <c r="O269" s="291"/>
      <c r="P269" s="291"/>
      <c r="Q269" s="291"/>
    </row>
    <row r="270" spans="1:17">
      <c r="A270" s="910"/>
      <c r="B270" s="930">
        <v>257</v>
      </c>
      <c r="C270" s="931">
        <f t="shared" si="22"/>
        <v>31395.438738134209</v>
      </c>
      <c r="D270" s="931">
        <f t="shared" ref="D270:D333" si="28">IF($C$10&gt;B270,0,IF(C270&lt;0.01,0,$C$8-C270))</f>
        <v>78220.251940739443</v>
      </c>
      <c r="E270" s="931">
        <f t="shared" si="23"/>
        <v>9581914.744408248</v>
      </c>
      <c r="F270" s="291"/>
      <c r="G270" s="293"/>
      <c r="H270" s="930">
        <v>256</v>
      </c>
      <c r="I270" s="930">
        <f t="shared" si="27"/>
        <v>291</v>
      </c>
      <c r="J270" s="931">
        <f t="shared" si="25"/>
        <v>107739.11156710413</v>
      </c>
      <c r="K270" s="931">
        <f t="shared" si="24"/>
        <v>119322.15569218776</v>
      </c>
      <c r="L270" s="933">
        <f t="shared" si="26"/>
        <v>21428500.157728642</v>
      </c>
      <c r="M270" s="291"/>
      <c r="N270" s="291"/>
      <c r="O270" s="291"/>
      <c r="P270" s="291"/>
      <c r="Q270" s="291"/>
    </row>
    <row r="271" spans="1:17">
      <c r="A271" s="910"/>
      <c r="B271" s="930">
        <v>258</v>
      </c>
      <c r="C271" s="931">
        <f t="shared" ref="C271:C334" si="29">IF(E270&lt;0.01,0,E270*$C$5/12)</f>
        <v>31141.222919326803</v>
      </c>
      <c r="D271" s="931">
        <f t="shared" si="28"/>
        <v>78474.467759546853</v>
      </c>
      <c r="E271" s="931">
        <f t="shared" ref="E271:E334" si="30">IF(E270&lt;0.01,0,E270-D271)</f>
        <v>9503440.2766487002</v>
      </c>
      <c r="F271" s="291"/>
      <c r="G271" s="293"/>
      <c r="H271" s="930">
        <v>257</v>
      </c>
      <c r="I271" s="930">
        <f t="shared" si="27"/>
        <v>292</v>
      </c>
      <c r="J271" s="931">
        <f t="shared" si="25"/>
        <v>107142.5007886432</v>
      </c>
      <c r="K271" s="931">
        <f t="shared" ref="K271:K334" si="31">IF($I$10&gt;H271,0,IF(J271&lt;0.01,0,$I$8-J271))</f>
        <v>119918.7664706487</v>
      </c>
      <c r="L271" s="933">
        <f t="shared" si="26"/>
        <v>21308581.391257994</v>
      </c>
      <c r="M271" s="291"/>
      <c r="N271" s="291"/>
      <c r="O271" s="291"/>
      <c r="P271" s="291"/>
      <c r="Q271" s="291"/>
    </row>
    <row r="272" spans="1:17">
      <c r="A272" s="910"/>
      <c r="B272" s="930">
        <v>259</v>
      </c>
      <c r="C272" s="931">
        <f t="shared" si="29"/>
        <v>30886.180899108276</v>
      </c>
      <c r="D272" s="931">
        <f t="shared" si="28"/>
        <v>78729.509779765373</v>
      </c>
      <c r="E272" s="931">
        <f t="shared" si="30"/>
        <v>9424710.766868934</v>
      </c>
      <c r="F272" s="291"/>
      <c r="G272" s="293"/>
      <c r="H272" s="930">
        <v>258</v>
      </c>
      <c r="I272" s="930">
        <f t="shared" si="27"/>
        <v>293</v>
      </c>
      <c r="J272" s="931">
        <f t="shared" ref="J272:J335" si="32">IF(L271&lt;0.01,0,L271*$I$5/12)</f>
        <v>106542.90695628997</v>
      </c>
      <c r="K272" s="931">
        <f t="shared" si="31"/>
        <v>120518.36030300193</v>
      </c>
      <c r="L272" s="933">
        <f t="shared" ref="L272:L335" si="33">IF(L271&lt;0.01,0,L271-K272)</f>
        <v>21188063.030954991</v>
      </c>
      <c r="M272" s="291"/>
      <c r="N272" s="291"/>
      <c r="O272" s="291"/>
      <c r="P272" s="291"/>
      <c r="Q272" s="291"/>
    </row>
    <row r="273" spans="1:17">
      <c r="A273" s="910"/>
      <c r="B273" s="930">
        <v>260</v>
      </c>
      <c r="C273" s="931">
        <f t="shared" si="29"/>
        <v>30630.309992324037</v>
      </c>
      <c r="D273" s="931">
        <f t="shared" si="28"/>
        <v>78985.380686549615</v>
      </c>
      <c r="E273" s="931">
        <f t="shared" si="30"/>
        <v>9345725.3861823846</v>
      </c>
      <c r="F273" s="291"/>
      <c r="G273" s="293"/>
      <c r="H273" s="930">
        <v>259</v>
      </c>
      <c r="I273" s="930">
        <f t="shared" ref="I273:I336" si="34">I272+1</f>
        <v>294</v>
      </c>
      <c r="J273" s="931">
        <f t="shared" si="32"/>
        <v>105940.31515477494</v>
      </c>
      <c r="K273" s="931">
        <f t="shared" si="31"/>
        <v>121120.95210451695</v>
      </c>
      <c r="L273" s="933">
        <f t="shared" si="33"/>
        <v>21066942.078850474</v>
      </c>
      <c r="M273" s="291"/>
      <c r="N273" s="291"/>
      <c r="O273" s="291"/>
      <c r="P273" s="291"/>
      <c r="Q273" s="291"/>
    </row>
    <row r="274" spans="1:17">
      <c r="A274" s="910"/>
      <c r="B274" s="930">
        <v>261</v>
      </c>
      <c r="C274" s="931">
        <f t="shared" si="29"/>
        <v>30373.60750509275</v>
      </c>
      <c r="D274" s="931">
        <f t="shared" si="28"/>
        <v>79242.083173780906</v>
      </c>
      <c r="E274" s="931">
        <f t="shared" si="30"/>
        <v>9266483.3030086029</v>
      </c>
      <c r="F274" s="291"/>
      <c r="G274" s="293"/>
      <c r="H274" s="930">
        <v>260</v>
      </c>
      <c r="I274" s="930">
        <f t="shared" si="34"/>
        <v>295</v>
      </c>
      <c r="J274" s="931">
        <f t="shared" si="32"/>
        <v>105334.71039425237</v>
      </c>
      <c r="K274" s="931">
        <f t="shared" si="31"/>
        <v>121726.55686503953</v>
      </c>
      <c r="L274" s="933">
        <f t="shared" si="33"/>
        <v>20945215.521985434</v>
      </c>
      <c r="M274" s="291"/>
      <c r="N274" s="291"/>
      <c r="O274" s="291"/>
      <c r="P274" s="291"/>
      <c r="Q274" s="291"/>
    </row>
    <row r="275" spans="1:17">
      <c r="A275" s="910"/>
      <c r="B275" s="930">
        <v>262</v>
      </c>
      <c r="C275" s="931">
        <f t="shared" si="29"/>
        <v>30116.070734777957</v>
      </c>
      <c r="D275" s="931">
        <f t="shared" si="28"/>
        <v>79499.619944095699</v>
      </c>
      <c r="E275" s="931">
        <f t="shared" si="30"/>
        <v>9186983.6830645073</v>
      </c>
      <c r="F275" s="291"/>
      <c r="G275" s="293"/>
      <c r="H275" s="930">
        <v>261</v>
      </c>
      <c r="I275" s="930">
        <f t="shared" si="34"/>
        <v>296</v>
      </c>
      <c r="J275" s="931">
        <f t="shared" si="32"/>
        <v>104726.07760992716</v>
      </c>
      <c r="K275" s="931">
        <f t="shared" si="31"/>
        <v>122335.18964936474</v>
      </c>
      <c r="L275" s="933">
        <f t="shared" si="33"/>
        <v>20822880.332336068</v>
      </c>
      <c r="M275" s="291"/>
      <c r="N275" s="291"/>
      <c r="O275" s="291"/>
      <c r="P275" s="291"/>
      <c r="Q275" s="291"/>
    </row>
    <row r="276" spans="1:17">
      <c r="A276" s="910"/>
      <c r="B276" s="930">
        <v>263</v>
      </c>
      <c r="C276" s="931">
        <f t="shared" si="29"/>
        <v>29857.696969959648</v>
      </c>
      <c r="D276" s="931">
        <f t="shared" si="28"/>
        <v>79757.993708914</v>
      </c>
      <c r="E276" s="931">
        <f t="shared" si="30"/>
        <v>9107225.6893555932</v>
      </c>
      <c r="F276" s="291"/>
      <c r="G276" s="293"/>
      <c r="H276" s="930">
        <v>262</v>
      </c>
      <c r="I276" s="930">
        <f t="shared" si="34"/>
        <v>297</v>
      </c>
      <c r="J276" s="931">
        <f t="shared" si="32"/>
        <v>104114.40166168033</v>
      </c>
      <c r="K276" s="931">
        <f t="shared" si="31"/>
        <v>122946.86559761157</v>
      </c>
      <c r="L276" s="933">
        <f t="shared" si="33"/>
        <v>20699933.466738455</v>
      </c>
      <c r="M276" s="291"/>
      <c r="N276" s="291"/>
      <c r="O276" s="291"/>
      <c r="P276" s="291"/>
      <c r="Q276" s="291"/>
    </row>
    <row r="277" spans="1:17">
      <c r="A277" s="929">
        <v>23</v>
      </c>
      <c r="B277" s="930">
        <v>264</v>
      </c>
      <c r="C277" s="931">
        <f t="shared" si="29"/>
        <v>29598.483490405677</v>
      </c>
      <c r="D277" s="931">
        <f t="shared" si="28"/>
        <v>80017.207188467975</v>
      </c>
      <c r="E277" s="931">
        <f t="shared" si="30"/>
        <v>9027208.4821671247</v>
      </c>
      <c r="F277" s="291"/>
      <c r="G277" s="293"/>
      <c r="H277" s="930">
        <v>263</v>
      </c>
      <c r="I277" s="930">
        <f t="shared" si="34"/>
        <v>298</v>
      </c>
      <c r="J277" s="931">
        <f t="shared" si="32"/>
        <v>103499.66733369227</v>
      </c>
      <c r="K277" s="931">
        <f t="shared" si="31"/>
        <v>123561.59992559963</v>
      </c>
      <c r="L277" s="933">
        <f t="shared" si="33"/>
        <v>20576371.866812855</v>
      </c>
      <c r="M277" s="291"/>
      <c r="N277" s="291"/>
      <c r="O277" s="291"/>
      <c r="P277" s="291"/>
      <c r="Q277" s="291"/>
    </row>
    <row r="278" spans="1:17">
      <c r="A278" s="910"/>
      <c r="B278" s="930">
        <v>265</v>
      </c>
      <c r="C278" s="931">
        <f t="shared" si="29"/>
        <v>29338.427567043156</v>
      </c>
      <c r="D278" s="931">
        <f t="shared" si="28"/>
        <v>80277.2631118305</v>
      </c>
      <c r="E278" s="931">
        <f t="shared" si="30"/>
        <v>8946931.219055295</v>
      </c>
      <c r="F278" s="291"/>
      <c r="G278" s="293"/>
      <c r="H278" s="930">
        <v>264</v>
      </c>
      <c r="I278" s="930">
        <f t="shared" si="34"/>
        <v>299</v>
      </c>
      <c r="J278" s="931">
        <f t="shared" si="32"/>
        <v>102881.85933406428</v>
      </c>
      <c r="K278" s="931">
        <f t="shared" si="31"/>
        <v>124179.40792522761</v>
      </c>
      <c r="L278" s="933">
        <f t="shared" si="33"/>
        <v>20452192.458887629</v>
      </c>
      <c r="M278" s="291"/>
      <c r="N278" s="291"/>
      <c r="O278" s="291"/>
      <c r="P278" s="291"/>
      <c r="Q278" s="291"/>
    </row>
    <row r="279" spans="1:17">
      <c r="A279" s="910"/>
      <c r="B279" s="930">
        <v>266</v>
      </c>
      <c r="C279" s="931">
        <f t="shared" si="29"/>
        <v>29077.526461929709</v>
      </c>
      <c r="D279" s="931">
        <f t="shared" si="28"/>
        <v>80538.164216943944</v>
      </c>
      <c r="E279" s="931">
        <f t="shared" si="30"/>
        <v>8866393.0548383519</v>
      </c>
      <c r="F279" s="291"/>
      <c r="G279" s="293"/>
      <c r="H279" s="930">
        <v>265</v>
      </c>
      <c r="I279" s="930">
        <f t="shared" si="34"/>
        <v>300</v>
      </c>
      <c r="J279" s="931">
        <f t="shared" si="32"/>
        <v>102260.96229443814</v>
      </c>
      <c r="K279" s="931">
        <f t="shared" si="31"/>
        <v>124800.30496485376</v>
      </c>
      <c r="L279" s="933">
        <f t="shared" si="33"/>
        <v>20327392.153922774</v>
      </c>
      <c r="M279" s="291"/>
      <c r="N279" s="291"/>
      <c r="O279" s="291"/>
      <c r="P279" s="291"/>
      <c r="Q279" s="291"/>
    </row>
    <row r="280" spans="1:17">
      <c r="A280" s="910"/>
      <c r="B280" s="930">
        <v>267</v>
      </c>
      <c r="C280" s="931">
        <f t="shared" si="29"/>
        <v>28815.777428224643</v>
      </c>
      <c r="D280" s="931">
        <f t="shared" si="28"/>
        <v>80799.913250649013</v>
      </c>
      <c r="E280" s="931">
        <f t="shared" si="30"/>
        <v>8785593.1415877026</v>
      </c>
      <c r="F280" s="291"/>
      <c r="G280" s="293"/>
      <c r="H280" s="930">
        <v>266</v>
      </c>
      <c r="I280" s="930">
        <f t="shared" si="34"/>
        <v>301</v>
      </c>
      <c r="J280" s="931">
        <f t="shared" si="32"/>
        <v>101636.96076961387</v>
      </c>
      <c r="K280" s="931">
        <f t="shared" si="31"/>
        <v>125424.30648967803</v>
      </c>
      <c r="L280" s="933">
        <f t="shared" si="33"/>
        <v>20201967.847433098</v>
      </c>
      <c r="M280" s="291"/>
      <c r="N280" s="291"/>
      <c r="O280" s="291"/>
      <c r="P280" s="291"/>
      <c r="Q280" s="291"/>
    </row>
    <row r="281" spans="1:17">
      <c r="A281" s="910"/>
      <c r="B281" s="930">
        <v>268</v>
      </c>
      <c r="C281" s="931">
        <f t="shared" si="29"/>
        <v>28553.177710160031</v>
      </c>
      <c r="D281" s="931">
        <f t="shared" si="28"/>
        <v>81062.512968713621</v>
      </c>
      <c r="E281" s="931">
        <f t="shared" si="30"/>
        <v>8704530.6286189891</v>
      </c>
      <c r="F281" s="291"/>
      <c r="G281" s="293"/>
      <c r="H281" s="930">
        <v>267</v>
      </c>
      <c r="I281" s="930">
        <f t="shared" si="34"/>
        <v>302</v>
      </c>
      <c r="J281" s="931">
        <f t="shared" si="32"/>
        <v>101009.83923716548</v>
      </c>
      <c r="K281" s="931">
        <f t="shared" si="31"/>
        <v>126051.42802212642</v>
      </c>
      <c r="L281" s="933">
        <f t="shared" si="33"/>
        <v>20075916.41941097</v>
      </c>
      <c r="M281" s="291"/>
      <c r="N281" s="291"/>
      <c r="O281" s="291"/>
      <c r="P281" s="291"/>
      <c r="Q281" s="291"/>
    </row>
    <row r="282" spans="1:17">
      <c r="A282" s="910"/>
      <c r="B282" s="930">
        <v>269</v>
      </c>
      <c r="C282" s="931">
        <f t="shared" si="29"/>
        <v>28289.724543011715</v>
      </c>
      <c r="D282" s="931">
        <f t="shared" si="28"/>
        <v>81325.966135861934</v>
      </c>
      <c r="E282" s="931">
        <f t="shared" si="30"/>
        <v>8623204.6624831278</v>
      </c>
      <c r="F282" s="291"/>
      <c r="G282" s="293"/>
      <c r="H282" s="930">
        <v>268</v>
      </c>
      <c r="I282" s="930">
        <f t="shared" si="34"/>
        <v>303</v>
      </c>
      <c r="J282" s="931">
        <f t="shared" si="32"/>
        <v>100379.58209705485</v>
      </c>
      <c r="K282" s="931">
        <f t="shared" si="31"/>
        <v>126681.68516223705</v>
      </c>
      <c r="L282" s="933">
        <f t="shared" si="33"/>
        <v>19949234.734248731</v>
      </c>
      <c r="M282" s="291"/>
      <c r="N282" s="291"/>
      <c r="O282" s="291"/>
      <c r="P282" s="291"/>
      <c r="Q282" s="291"/>
    </row>
    <row r="283" spans="1:17">
      <c r="A283" s="910"/>
      <c r="B283" s="930">
        <v>270</v>
      </c>
      <c r="C283" s="931">
        <f t="shared" si="29"/>
        <v>28025.415153070164</v>
      </c>
      <c r="D283" s="931">
        <f t="shared" si="28"/>
        <v>81590.275525803489</v>
      </c>
      <c r="E283" s="931">
        <f t="shared" si="30"/>
        <v>8541614.386957325</v>
      </c>
      <c r="F283" s="291"/>
      <c r="G283" s="293"/>
      <c r="H283" s="930">
        <v>269</v>
      </c>
      <c r="I283" s="930">
        <f t="shared" si="34"/>
        <v>304</v>
      </c>
      <c r="J283" s="931">
        <f t="shared" si="32"/>
        <v>99746.173671243654</v>
      </c>
      <c r="K283" s="931">
        <f t="shared" si="31"/>
        <v>127315.09358804824</v>
      </c>
      <c r="L283" s="933">
        <f t="shared" si="33"/>
        <v>19821919.640660685</v>
      </c>
      <c r="M283" s="291"/>
      <c r="N283" s="291"/>
      <c r="O283" s="291"/>
      <c r="P283" s="291"/>
      <c r="Q283" s="291"/>
    </row>
    <row r="284" spans="1:17">
      <c r="A284" s="910"/>
      <c r="B284" s="930">
        <v>271</v>
      </c>
      <c r="C284" s="931">
        <f t="shared" si="29"/>
        <v>27760.246757611309</v>
      </c>
      <c r="D284" s="931">
        <f t="shared" si="28"/>
        <v>81855.44392126234</v>
      </c>
      <c r="E284" s="931">
        <f t="shared" si="30"/>
        <v>8459758.9430360626</v>
      </c>
      <c r="F284" s="291"/>
      <c r="G284" s="293"/>
      <c r="H284" s="930">
        <v>270</v>
      </c>
      <c r="I284" s="930">
        <f t="shared" si="34"/>
        <v>305</v>
      </c>
      <c r="J284" s="931">
        <f t="shared" si="32"/>
        <v>99109.598203303423</v>
      </c>
      <c r="K284" s="931">
        <f t="shared" si="31"/>
        <v>127951.66905598847</v>
      </c>
      <c r="L284" s="933">
        <f t="shared" si="33"/>
        <v>19693967.971604697</v>
      </c>
      <c r="M284" s="291"/>
      <c r="N284" s="291"/>
      <c r="O284" s="291"/>
      <c r="P284" s="291"/>
      <c r="Q284" s="291"/>
    </row>
    <row r="285" spans="1:17">
      <c r="A285" s="910"/>
      <c r="B285" s="930">
        <v>272</v>
      </c>
      <c r="C285" s="931">
        <f t="shared" si="29"/>
        <v>27494.216564867205</v>
      </c>
      <c r="D285" s="931">
        <f t="shared" si="28"/>
        <v>82121.474114006443</v>
      </c>
      <c r="E285" s="931">
        <f t="shared" si="30"/>
        <v>8377637.4689220563</v>
      </c>
      <c r="F285" s="291"/>
      <c r="G285" s="293"/>
      <c r="H285" s="930">
        <v>271</v>
      </c>
      <c r="I285" s="930">
        <f t="shared" si="34"/>
        <v>306</v>
      </c>
      <c r="J285" s="931">
        <f t="shared" si="32"/>
        <v>98469.839858023493</v>
      </c>
      <c r="K285" s="931">
        <f t="shared" si="31"/>
        <v>128591.4274012684</v>
      </c>
      <c r="L285" s="933">
        <f t="shared" si="33"/>
        <v>19565376.54420343</v>
      </c>
      <c r="M285" s="291"/>
      <c r="N285" s="291"/>
      <c r="O285" s="291"/>
      <c r="P285" s="291"/>
      <c r="Q285" s="291"/>
    </row>
    <row r="286" spans="1:17">
      <c r="A286" s="910"/>
      <c r="B286" s="930">
        <v>273</v>
      </c>
      <c r="C286" s="931">
        <f t="shared" si="29"/>
        <v>27227.321773996682</v>
      </c>
      <c r="D286" s="931">
        <f t="shared" si="28"/>
        <v>82388.368904876974</v>
      </c>
      <c r="E286" s="931">
        <f t="shared" si="30"/>
        <v>8295249.1000171797</v>
      </c>
      <c r="F286" s="291"/>
      <c r="G286" s="293"/>
      <c r="H286" s="930">
        <v>272</v>
      </c>
      <c r="I286" s="930">
        <f t="shared" si="34"/>
        <v>307</v>
      </c>
      <c r="J286" s="931">
        <f t="shared" si="32"/>
        <v>97826.882721017158</v>
      </c>
      <c r="K286" s="931">
        <f t="shared" si="31"/>
        <v>129234.38453827474</v>
      </c>
      <c r="L286" s="933">
        <f t="shared" si="33"/>
        <v>19436142.159665156</v>
      </c>
      <c r="M286" s="291"/>
      <c r="N286" s="291"/>
      <c r="O286" s="291"/>
      <c r="P286" s="291"/>
      <c r="Q286" s="291"/>
    </row>
    <row r="287" spans="1:17">
      <c r="A287" s="910"/>
      <c r="B287" s="930">
        <v>274</v>
      </c>
      <c r="C287" s="931">
        <f t="shared" si="29"/>
        <v>26959.559575055831</v>
      </c>
      <c r="D287" s="931">
        <f t="shared" si="28"/>
        <v>82656.131103817825</v>
      </c>
      <c r="E287" s="931">
        <f t="shared" si="30"/>
        <v>8212592.9689133624</v>
      </c>
      <c r="F287" s="291"/>
      <c r="G287" s="293"/>
      <c r="H287" s="930">
        <v>273</v>
      </c>
      <c r="I287" s="930">
        <f t="shared" si="34"/>
        <v>308</v>
      </c>
      <c r="J287" s="931">
        <f t="shared" si="32"/>
        <v>97180.710798325774</v>
      </c>
      <c r="K287" s="931">
        <f t="shared" si="31"/>
        <v>129880.55646096612</v>
      </c>
      <c r="L287" s="933">
        <f t="shared" si="33"/>
        <v>19306261.603204191</v>
      </c>
      <c r="M287" s="291"/>
      <c r="N287" s="291"/>
      <c r="O287" s="291"/>
      <c r="P287" s="291"/>
      <c r="Q287" s="291"/>
    </row>
    <row r="288" spans="1:17">
      <c r="A288" s="910"/>
      <c r="B288" s="930">
        <v>275</v>
      </c>
      <c r="C288" s="931">
        <f t="shared" si="29"/>
        <v>26690.927148968429</v>
      </c>
      <c r="D288" s="931">
        <f t="shared" si="28"/>
        <v>82924.76352990522</v>
      </c>
      <c r="E288" s="931">
        <f t="shared" si="30"/>
        <v>8129668.2053834572</v>
      </c>
      <c r="F288" s="291"/>
      <c r="G288" s="293"/>
      <c r="H288" s="930">
        <v>274</v>
      </c>
      <c r="I288" s="930">
        <f t="shared" si="34"/>
        <v>309</v>
      </c>
      <c r="J288" s="931">
        <f t="shared" si="32"/>
        <v>96531.308016020936</v>
      </c>
      <c r="K288" s="931">
        <f t="shared" si="31"/>
        <v>130529.95924327096</v>
      </c>
      <c r="L288" s="933">
        <f t="shared" si="33"/>
        <v>19175731.643960919</v>
      </c>
      <c r="M288" s="291"/>
      <c r="N288" s="291"/>
      <c r="O288" s="291"/>
      <c r="P288" s="291"/>
      <c r="Q288" s="291"/>
    </row>
    <row r="289" spans="1:17">
      <c r="A289" s="929">
        <v>24</v>
      </c>
      <c r="B289" s="930">
        <v>276</v>
      </c>
      <c r="C289" s="931">
        <f t="shared" si="29"/>
        <v>26421.421667496237</v>
      </c>
      <c r="D289" s="931">
        <f t="shared" si="28"/>
        <v>83194.269011377415</v>
      </c>
      <c r="E289" s="931">
        <f t="shared" si="30"/>
        <v>8046473.9363720799</v>
      </c>
      <c r="F289" s="291"/>
      <c r="G289" s="293"/>
      <c r="H289" s="930">
        <v>275</v>
      </c>
      <c r="I289" s="930">
        <f t="shared" si="34"/>
        <v>310</v>
      </c>
      <c r="J289" s="931">
        <f t="shared" si="32"/>
        <v>95878.658219804594</v>
      </c>
      <c r="K289" s="931">
        <f t="shared" si="31"/>
        <v>131182.60903948732</v>
      </c>
      <c r="L289" s="933">
        <f t="shared" si="33"/>
        <v>19044549.03492143</v>
      </c>
      <c r="M289" s="291"/>
      <c r="N289" s="291"/>
      <c r="O289" s="291"/>
      <c r="P289" s="291"/>
      <c r="Q289" s="291"/>
    </row>
    <row r="290" spans="1:17">
      <c r="A290" s="910"/>
      <c r="B290" s="930">
        <v>277</v>
      </c>
      <c r="C290" s="931">
        <f t="shared" si="29"/>
        <v>26151.040293209258</v>
      </c>
      <c r="D290" s="931">
        <f t="shared" si="28"/>
        <v>83464.650385664398</v>
      </c>
      <c r="E290" s="931">
        <f t="shared" si="30"/>
        <v>7963009.2859864151</v>
      </c>
      <c r="F290" s="291"/>
      <c r="G290" s="293"/>
      <c r="H290" s="930">
        <v>276</v>
      </c>
      <c r="I290" s="930">
        <f t="shared" si="34"/>
        <v>311</v>
      </c>
      <c r="J290" s="931">
        <f t="shared" si="32"/>
        <v>95222.745174607146</v>
      </c>
      <c r="K290" s="931">
        <f t="shared" si="31"/>
        <v>131838.52208468475</v>
      </c>
      <c r="L290" s="933">
        <f t="shared" si="33"/>
        <v>18912710.512836747</v>
      </c>
      <c r="M290" s="291"/>
      <c r="N290" s="291"/>
      <c r="O290" s="291"/>
      <c r="P290" s="291"/>
      <c r="Q290" s="291"/>
    </row>
    <row r="291" spans="1:17">
      <c r="A291" s="910"/>
      <c r="B291" s="930">
        <v>278</v>
      </c>
      <c r="C291" s="931">
        <f t="shared" si="29"/>
        <v>25879.780179455847</v>
      </c>
      <c r="D291" s="931">
        <f t="shared" si="28"/>
        <v>83735.910499417805</v>
      </c>
      <c r="E291" s="931">
        <f t="shared" si="30"/>
        <v>7879273.375486997</v>
      </c>
      <c r="F291" s="291"/>
      <c r="G291" s="293"/>
      <c r="H291" s="930">
        <v>277</v>
      </c>
      <c r="I291" s="930">
        <f t="shared" si="34"/>
        <v>312</v>
      </c>
      <c r="J291" s="931">
        <f t="shared" si="32"/>
        <v>94563.55256418373</v>
      </c>
      <c r="K291" s="931">
        <f t="shared" si="31"/>
        <v>132497.71469510818</v>
      </c>
      <c r="L291" s="933">
        <f t="shared" si="33"/>
        <v>18780212.79814164</v>
      </c>
      <c r="M291" s="291"/>
      <c r="N291" s="291"/>
      <c r="O291" s="291"/>
      <c r="P291" s="291"/>
      <c r="Q291" s="291"/>
    </row>
    <row r="292" spans="1:17">
      <c r="A292" s="910"/>
      <c r="B292" s="930">
        <v>279</v>
      </c>
      <c r="C292" s="931">
        <f t="shared" si="29"/>
        <v>25607.638470332739</v>
      </c>
      <c r="D292" s="931">
        <f t="shared" si="28"/>
        <v>84008.052208540917</v>
      </c>
      <c r="E292" s="931">
        <f t="shared" si="30"/>
        <v>7795265.323278456</v>
      </c>
      <c r="F292" s="291"/>
      <c r="G292" s="293"/>
      <c r="H292" s="930">
        <v>278</v>
      </c>
      <c r="I292" s="930">
        <f t="shared" si="34"/>
        <v>313</v>
      </c>
      <c r="J292" s="931">
        <f t="shared" si="32"/>
        <v>93901.063990708193</v>
      </c>
      <c r="K292" s="931">
        <f t="shared" si="31"/>
        <v>133160.20326858369</v>
      </c>
      <c r="L292" s="933">
        <f t="shared" si="33"/>
        <v>18647052.594873056</v>
      </c>
      <c r="M292" s="291"/>
      <c r="N292" s="291"/>
      <c r="O292" s="291"/>
      <c r="P292" s="291"/>
      <c r="Q292" s="291"/>
    </row>
    <row r="293" spans="1:17">
      <c r="A293" s="910"/>
      <c r="B293" s="930">
        <v>280</v>
      </c>
      <c r="C293" s="931">
        <f t="shared" si="29"/>
        <v>25334.612300654979</v>
      </c>
      <c r="D293" s="931">
        <f t="shared" si="28"/>
        <v>84281.078378218677</v>
      </c>
      <c r="E293" s="931">
        <f t="shared" si="30"/>
        <v>7710984.2449002378</v>
      </c>
      <c r="F293" s="291"/>
      <c r="G293" s="293"/>
      <c r="H293" s="930">
        <v>279</v>
      </c>
      <c r="I293" s="930">
        <f t="shared" si="34"/>
        <v>314</v>
      </c>
      <c r="J293" s="931">
        <f t="shared" si="32"/>
        <v>93235.26297436528</v>
      </c>
      <c r="K293" s="931">
        <f t="shared" si="31"/>
        <v>133826.00428492663</v>
      </c>
      <c r="L293" s="933">
        <f t="shared" si="33"/>
        <v>18513226.59058813</v>
      </c>
      <c r="M293" s="291"/>
      <c r="N293" s="291"/>
      <c r="O293" s="291"/>
      <c r="P293" s="291"/>
      <c r="Q293" s="291"/>
    </row>
    <row r="294" spans="1:17">
      <c r="A294" s="910"/>
      <c r="B294" s="930">
        <v>281</v>
      </c>
      <c r="C294" s="931">
        <f t="shared" si="29"/>
        <v>25060.698795925771</v>
      </c>
      <c r="D294" s="931">
        <f t="shared" si="28"/>
        <v>84554.991882947885</v>
      </c>
      <c r="E294" s="931">
        <f t="shared" si="30"/>
        <v>7626429.2530172896</v>
      </c>
      <c r="F294" s="291"/>
      <c r="G294" s="293"/>
      <c r="H294" s="930">
        <v>280</v>
      </c>
      <c r="I294" s="930">
        <f t="shared" si="34"/>
        <v>315</v>
      </c>
      <c r="J294" s="931">
        <f t="shared" si="32"/>
        <v>92566.13295294065</v>
      </c>
      <c r="K294" s="931">
        <f t="shared" si="31"/>
        <v>134495.13430635125</v>
      </c>
      <c r="L294" s="933">
        <f t="shared" si="33"/>
        <v>18378731.456281777</v>
      </c>
      <c r="M294" s="291"/>
      <c r="N294" s="291"/>
      <c r="O294" s="291"/>
      <c r="P294" s="291"/>
      <c r="Q294" s="291"/>
    </row>
    <row r="295" spans="1:17">
      <c r="A295" s="910"/>
      <c r="B295" s="930">
        <v>282</v>
      </c>
      <c r="C295" s="931">
        <f t="shared" si="29"/>
        <v>24785.89507230619</v>
      </c>
      <c r="D295" s="931">
        <f t="shared" si="28"/>
        <v>84829.795606567466</v>
      </c>
      <c r="E295" s="931">
        <f t="shared" si="30"/>
        <v>7541599.457410722</v>
      </c>
      <c r="F295" s="291"/>
      <c r="G295" s="293"/>
      <c r="H295" s="930">
        <v>281</v>
      </c>
      <c r="I295" s="930">
        <f t="shared" si="34"/>
        <v>316</v>
      </c>
      <c r="J295" s="931">
        <f t="shared" si="32"/>
        <v>91893.657281408887</v>
      </c>
      <c r="K295" s="931">
        <f t="shared" si="31"/>
        <v>135167.609977883</v>
      </c>
      <c r="L295" s="933">
        <f t="shared" si="33"/>
        <v>18243563.846303895</v>
      </c>
      <c r="M295" s="291"/>
      <c r="N295" s="291"/>
      <c r="O295" s="291"/>
      <c r="P295" s="291"/>
      <c r="Q295" s="291"/>
    </row>
    <row r="296" spans="1:17">
      <c r="A296" s="910"/>
      <c r="B296" s="930">
        <v>283</v>
      </c>
      <c r="C296" s="931">
        <f t="shared" si="29"/>
        <v>24510.198236584849</v>
      </c>
      <c r="D296" s="931">
        <f t="shared" si="28"/>
        <v>85105.4924422888</v>
      </c>
      <c r="E296" s="931">
        <f t="shared" si="30"/>
        <v>7456493.9649684336</v>
      </c>
      <c r="F296" s="291"/>
      <c r="G296" s="293"/>
      <c r="H296" s="930">
        <v>282</v>
      </c>
      <c r="I296" s="930">
        <f t="shared" si="34"/>
        <v>317</v>
      </c>
      <c r="J296" s="931">
        <f t="shared" si="32"/>
        <v>91217.819231519476</v>
      </c>
      <c r="K296" s="931">
        <f t="shared" si="31"/>
        <v>135843.44802777242</v>
      </c>
      <c r="L296" s="933">
        <f t="shared" si="33"/>
        <v>18107720.398276124</v>
      </c>
      <c r="M296" s="291"/>
      <c r="N296" s="291"/>
      <c r="O296" s="291"/>
      <c r="P296" s="291"/>
      <c r="Q296" s="291"/>
    </row>
    <row r="297" spans="1:17">
      <c r="A297" s="910"/>
      <c r="B297" s="930">
        <v>284</v>
      </c>
      <c r="C297" s="931">
        <f t="shared" si="29"/>
        <v>24233.60538614741</v>
      </c>
      <c r="D297" s="931">
        <f t="shared" si="28"/>
        <v>85382.085292726246</v>
      </c>
      <c r="E297" s="931">
        <f t="shared" si="30"/>
        <v>7371111.8796757078</v>
      </c>
      <c r="F297" s="291"/>
      <c r="G297" s="293"/>
      <c r="H297" s="930">
        <v>283</v>
      </c>
      <c r="I297" s="930">
        <f t="shared" si="34"/>
        <v>318</v>
      </c>
      <c r="J297" s="931">
        <f t="shared" si="32"/>
        <v>90538.601991380623</v>
      </c>
      <c r="K297" s="931">
        <f t="shared" si="31"/>
        <v>136522.66526791127</v>
      </c>
      <c r="L297" s="933">
        <f t="shared" si="33"/>
        <v>17971197.733008213</v>
      </c>
      <c r="M297" s="291"/>
      <c r="N297" s="291"/>
      <c r="O297" s="291"/>
      <c r="P297" s="291"/>
      <c r="Q297" s="291"/>
    </row>
    <row r="298" spans="1:17">
      <c r="A298" s="910"/>
      <c r="B298" s="930">
        <v>285</v>
      </c>
      <c r="C298" s="931">
        <f t="shared" si="29"/>
        <v>23956.113608946049</v>
      </c>
      <c r="D298" s="931">
        <f t="shared" si="28"/>
        <v>85659.577069927604</v>
      </c>
      <c r="E298" s="931">
        <f t="shared" si="30"/>
        <v>7285452.3026057798</v>
      </c>
      <c r="F298" s="291"/>
      <c r="G298" s="293"/>
      <c r="H298" s="930">
        <v>284</v>
      </c>
      <c r="I298" s="930">
        <f t="shared" si="34"/>
        <v>319</v>
      </c>
      <c r="J298" s="931">
        <f t="shared" si="32"/>
        <v>89855.988665041063</v>
      </c>
      <c r="K298" s="931">
        <f t="shared" si="31"/>
        <v>137205.27859425085</v>
      </c>
      <c r="L298" s="933">
        <f t="shared" si="33"/>
        <v>17833992.454413962</v>
      </c>
      <c r="M298" s="291"/>
      <c r="N298" s="291"/>
      <c r="O298" s="291"/>
      <c r="P298" s="291"/>
      <c r="Q298" s="291"/>
    </row>
    <row r="299" spans="1:17">
      <c r="A299" s="910"/>
      <c r="B299" s="930">
        <v>286</v>
      </c>
      <c r="C299" s="931">
        <f t="shared" si="29"/>
        <v>23677.719983468782</v>
      </c>
      <c r="D299" s="931">
        <f t="shared" si="28"/>
        <v>85937.970695404874</v>
      </c>
      <c r="E299" s="931">
        <f t="shared" si="30"/>
        <v>7199514.3319103746</v>
      </c>
      <c r="F299" s="291"/>
      <c r="G299" s="293"/>
      <c r="H299" s="930">
        <v>285</v>
      </c>
      <c r="I299" s="930">
        <f t="shared" si="34"/>
        <v>320</v>
      </c>
      <c r="J299" s="931">
        <f t="shared" si="32"/>
        <v>89169.96227206981</v>
      </c>
      <c r="K299" s="931">
        <f t="shared" si="31"/>
        <v>137891.30498722207</v>
      </c>
      <c r="L299" s="933">
        <f t="shared" si="33"/>
        <v>17696101.14942674</v>
      </c>
      <c r="M299" s="291"/>
      <c r="N299" s="291"/>
      <c r="O299" s="291"/>
      <c r="P299" s="291"/>
      <c r="Q299" s="291"/>
    </row>
    <row r="300" spans="1:17">
      <c r="A300" s="910"/>
      <c r="B300" s="930">
        <v>287</v>
      </c>
      <c r="C300" s="931">
        <f t="shared" si="29"/>
        <v>23398.421578708716</v>
      </c>
      <c r="D300" s="931">
        <f t="shared" si="28"/>
        <v>86217.269100164936</v>
      </c>
      <c r="E300" s="931">
        <f t="shared" si="30"/>
        <v>7113297.0628102096</v>
      </c>
      <c r="F300" s="291"/>
      <c r="G300" s="293"/>
      <c r="H300" s="930">
        <v>286</v>
      </c>
      <c r="I300" s="930">
        <f t="shared" si="34"/>
        <v>321</v>
      </c>
      <c r="J300" s="931">
        <f t="shared" si="32"/>
        <v>88480.505747133691</v>
      </c>
      <c r="K300" s="931">
        <f t="shared" si="31"/>
        <v>138580.76151215821</v>
      </c>
      <c r="L300" s="933">
        <f t="shared" si="33"/>
        <v>17557520.387914583</v>
      </c>
      <c r="M300" s="291"/>
      <c r="N300" s="291"/>
      <c r="O300" s="291"/>
      <c r="P300" s="291"/>
      <c r="Q300" s="291"/>
    </row>
    <row r="301" spans="1:17">
      <c r="A301" s="929">
        <v>25</v>
      </c>
      <c r="B301" s="930">
        <v>288</v>
      </c>
      <c r="C301" s="931">
        <f t="shared" si="29"/>
        <v>23118.21545413318</v>
      </c>
      <c r="D301" s="931">
        <f t="shared" si="28"/>
        <v>86497.475224740469</v>
      </c>
      <c r="E301" s="931">
        <f t="shared" si="30"/>
        <v>7026799.5875854688</v>
      </c>
      <c r="F301" s="291"/>
      <c r="G301" s="293"/>
      <c r="H301" s="930">
        <v>287</v>
      </c>
      <c r="I301" s="930">
        <f t="shared" si="34"/>
        <v>322</v>
      </c>
      <c r="J301" s="931">
        <f t="shared" si="32"/>
        <v>87787.601939572909</v>
      </c>
      <c r="K301" s="931">
        <f t="shared" si="31"/>
        <v>139273.665319719</v>
      </c>
      <c r="L301" s="933">
        <f t="shared" si="33"/>
        <v>17418246.722594865</v>
      </c>
      <c r="M301" s="291"/>
      <c r="N301" s="291"/>
      <c r="O301" s="291"/>
      <c r="P301" s="291"/>
      <c r="Q301" s="291"/>
    </row>
    <row r="302" spans="1:17">
      <c r="A302" s="910"/>
      <c r="B302" s="930">
        <v>289</v>
      </c>
      <c r="C302" s="931">
        <f t="shared" si="29"/>
        <v>22837.098659652776</v>
      </c>
      <c r="D302" s="931">
        <f t="shared" si="28"/>
        <v>86778.592019220872</v>
      </c>
      <c r="E302" s="931">
        <f t="shared" si="30"/>
        <v>6940020.995566248</v>
      </c>
      <c r="F302" s="291"/>
      <c r="G302" s="293"/>
      <c r="H302" s="930">
        <v>288</v>
      </c>
      <c r="I302" s="930">
        <f t="shared" si="34"/>
        <v>323</v>
      </c>
      <c r="J302" s="931">
        <f t="shared" si="32"/>
        <v>87091.23361297432</v>
      </c>
      <c r="K302" s="931">
        <f t="shared" si="31"/>
        <v>139970.03364631758</v>
      </c>
      <c r="L302" s="933">
        <f t="shared" si="33"/>
        <v>17278276.688948546</v>
      </c>
      <c r="M302" s="291"/>
      <c r="N302" s="291"/>
      <c r="O302" s="291"/>
      <c r="P302" s="291"/>
      <c r="Q302" s="291"/>
    </row>
    <row r="303" spans="1:17">
      <c r="A303" s="910"/>
      <c r="B303" s="930">
        <v>290</v>
      </c>
      <c r="C303" s="931">
        <f t="shared" si="29"/>
        <v>22555.068235590308</v>
      </c>
      <c r="D303" s="931">
        <f t="shared" si="28"/>
        <v>87060.622443283341</v>
      </c>
      <c r="E303" s="931">
        <f t="shared" si="30"/>
        <v>6852960.373122965</v>
      </c>
      <c r="F303" s="291"/>
      <c r="G303" s="293"/>
      <c r="H303" s="930">
        <v>289</v>
      </c>
      <c r="I303" s="930">
        <f t="shared" si="34"/>
        <v>324</v>
      </c>
      <c r="J303" s="931">
        <f t="shared" si="32"/>
        <v>86391.383444742722</v>
      </c>
      <c r="K303" s="931">
        <f t="shared" si="31"/>
        <v>140669.88381454919</v>
      </c>
      <c r="L303" s="933">
        <f t="shared" si="33"/>
        <v>17137606.805133995</v>
      </c>
      <c r="M303" s="291"/>
      <c r="N303" s="291"/>
      <c r="O303" s="291"/>
      <c r="P303" s="291"/>
      <c r="Q303" s="291"/>
    </row>
    <row r="304" spans="1:17">
      <c r="A304" s="910"/>
      <c r="B304" s="930">
        <v>291</v>
      </c>
      <c r="C304" s="931">
        <f t="shared" si="29"/>
        <v>22272.121212649636</v>
      </c>
      <c r="D304" s="931">
        <f t="shared" si="28"/>
        <v>87343.569466224013</v>
      </c>
      <c r="E304" s="931">
        <f t="shared" si="30"/>
        <v>6765616.803656741</v>
      </c>
      <c r="F304" s="291"/>
      <c r="G304" s="293"/>
      <c r="H304" s="930">
        <v>290</v>
      </c>
      <c r="I304" s="930">
        <f t="shared" si="34"/>
        <v>325</v>
      </c>
      <c r="J304" s="931">
        <f t="shared" si="32"/>
        <v>85688.034025669971</v>
      </c>
      <c r="K304" s="931">
        <f t="shared" si="31"/>
        <v>141373.23323362193</v>
      </c>
      <c r="L304" s="933">
        <f t="shared" si="33"/>
        <v>16996233.571900371</v>
      </c>
      <c r="M304" s="291"/>
      <c r="N304" s="291"/>
      <c r="O304" s="291"/>
      <c r="P304" s="291"/>
      <c r="Q304" s="291"/>
    </row>
    <row r="305" spans="1:17">
      <c r="A305" s="910"/>
      <c r="B305" s="930">
        <v>292</v>
      </c>
      <c r="C305" s="931">
        <f t="shared" si="29"/>
        <v>21988.254611884407</v>
      </c>
      <c r="D305" s="931">
        <f t="shared" si="28"/>
        <v>87627.436066989249</v>
      </c>
      <c r="E305" s="931">
        <f t="shared" si="30"/>
        <v>6677989.3675897522</v>
      </c>
      <c r="F305" s="291"/>
      <c r="G305" s="293"/>
      <c r="H305" s="930">
        <v>291</v>
      </c>
      <c r="I305" s="930">
        <f t="shared" si="34"/>
        <v>326</v>
      </c>
      <c r="J305" s="931">
        <f t="shared" si="32"/>
        <v>84981.16785950186</v>
      </c>
      <c r="K305" s="931">
        <f t="shared" si="31"/>
        <v>142080.09939979005</v>
      </c>
      <c r="L305" s="933">
        <f t="shared" si="33"/>
        <v>16854153.472500581</v>
      </c>
      <c r="M305" s="291"/>
      <c r="N305" s="291"/>
      <c r="O305" s="291"/>
      <c r="P305" s="291"/>
      <c r="Q305" s="291"/>
    </row>
    <row r="306" spans="1:17">
      <c r="A306" s="910"/>
      <c r="B306" s="930">
        <v>293</v>
      </c>
      <c r="C306" s="931">
        <f t="shared" si="29"/>
        <v>21703.465444666694</v>
      </c>
      <c r="D306" s="931">
        <f t="shared" si="28"/>
        <v>87912.225234206955</v>
      </c>
      <c r="E306" s="931">
        <f t="shared" si="30"/>
        <v>6590077.1423555454</v>
      </c>
      <c r="F306" s="291"/>
      <c r="G306" s="293"/>
      <c r="H306" s="930">
        <v>292</v>
      </c>
      <c r="I306" s="930">
        <f t="shared" si="34"/>
        <v>327</v>
      </c>
      <c r="J306" s="931">
        <f t="shared" si="32"/>
        <v>84270.767362502913</v>
      </c>
      <c r="K306" s="931">
        <f t="shared" si="31"/>
        <v>142790.49989678897</v>
      </c>
      <c r="L306" s="933">
        <f t="shared" si="33"/>
        <v>16711362.972603792</v>
      </c>
      <c r="M306" s="291"/>
      <c r="N306" s="291"/>
      <c r="O306" s="291"/>
      <c r="P306" s="291"/>
      <c r="Q306" s="291"/>
    </row>
    <row r="307" spans="1:17">
      <c r="A307" s="910"/>
      <c r="B307" s="930">
        <v>294</v>
      </c>
      <c r="C307" s="931">
        <f t="shared" si="29"/>
        <v>21417.750712655525</v>
      </c>
      <c r="D307" s="931">
        <f t="shared" si="28"/>
        <v>88197.939966218124</v>
      </c>
      <c r="E307" s="931">
        <f t="shared" si="30"/>
        <v>6501879.2023893269</v>
      </c>
      <c r="F307" s="291"/>
      <c r="G307" s="293"/>
      <c r="H307" s="930">
        <v>293</v>
      </c>
      <c r="I307" s="930">
        <f t="shared" si="34"/>
        <v>328</v>
      </c>
      <c r="J307" s="931">
        <f t="shared" si="32"/>
        <v>83556.814863018968</v>
      </c>
      <c r="K307" s="931">
        <f t="shared" si="31"/>
        <v>143504.45239627291</v>
      </c>
      <c r="L307" s="933">
        <f t="shared" si="33"/>
        <v>16567858.520207519</v>
      </c>
      <c r="M307" s="291"/>
      <c r="N307" s="291"/>
      <c r="O307" s="291"/>
      <c r="P307" s="291"/>
      <c r="Q307" s="291"/>
    </row>
    <row r="308" spans="1:17">
      <c r="A308" s="910"/>
      <c r="B308" s="930">
        <v>295</v>
      </c>
      <c r="C308" s="931">
        <f t="shared" si="29"/>
        <v>21131.107407765314</v>
      </c>
      <c r="D308" s="931">
        <f t="shared" si="28"/>
        <v>88484.583271108335</v>
      </c>
      <c r="E308" s="931">
        <f t="shared" si="30"/>
        <v>6413394.6191182183</v>
      </c>
      <c r="F308" s="291"/>
      <c r="G308" s="293"/>
      <c r="H308" s="930">
        <v>294</v>
      </c>
      <c r="I308" s="930">
        <f t="shared" si="34"/>
        <v>329</v>
      </c>
      <c r="J308" s="931">
        <f t="shared" si="32"/>
        <v>82839.292601037581</v>
      </c>
      <c r="K308" s="931">
        <f t="shared" si="31"/>
        <v>144221.9746582543</v>
      </c>
      <c r="L308" s="933">
        <f t="shared" si="33"/>
        <v>16423636.545549264</v>
      </c>
      <c r="M308" s="291"/>
      <c r="N308" s="291"/>
      <c r="O308" s="291"/>
      <c r="P308" s="291"/>
      <c r="Q308" s="291"/>
    </row>
    <row r="309" spans="1:17">
      <c r="A309" s="910"/>
      <c r="B309" s="930">
        <v>296</v>
      </c>
      <c r="C309" s="931">
        <f t="shared" si="29"/>
        <v>20843.53251213421</v>
      </c>
      <c r="D309" s="931">
        <f t="shared" si="28"/>
        <v>88772.158166739449</v>
      </c>
      <c r="E309" s="931">
        <f t="shared" si="30"/>
        <v>6324622.4609514792</v>
      </c>
      <c r="F309" s="291"/>
      <c r="G309" s="293"/>
      <c r="H309" s="930">
        <v>295</v>
      </c>
      <c r="I309" s="930">
        <f t="shared" si="34"/>
        <v>330</v>
      </c>
      <c r="J309" s="931">
        <f t="shared" si="32"/>
        <v>82118.182727746316</v>
      </c>
      <c r="K309" s="931">
        <f t="shared" si="31"/>
        <v>144943.08453154558</v>
      </c>
      <c r="L309" s="933">
        <f t="shared" si="33"/>
        <v>16278693.461017719</v>
      </c>
      <c r="M309" s="291"/>
      <c r="N309" s="291"/>
      <c r="O309" s="291"/>
      <c r="P309" s="291"/>
      <c r="Q309" s="291"/>
    </row>
    <row r="310" spans="1:17">
      <c r="A310" s="910"/>
      <c r="B310" s="930">
        <v>297</v>
      </c>
      <c r="C310" s="931">
        <f t="shared" si="29"/>
        <v>20555.022998092307</v>
      </c>
      <c r="D310" s="931">
        <f t="shared" si="28"/>
        <v>89060.667680781349</v>
      </c>
      <c r="E310" s="931">
        <f t="shared" si="30"/>
        <v>6235561.7932706978</v>
      </c>
      <c r="F310" s="291"/>
      <c r="G310" s="293"/>
      <c r="H310" s="930">
        <v>296</v>
      </c>
      <c r="I310" s="930">
        <f t="shared" si="34"/>
        <v>331</v>
      </c>
      <c r="J310" s="931">
        <f t="shared" si="32"/>
        <v>81393.46730508859</v>
      </c>
      <c r="K310" s="931">
        <f t="shared" si="31"/>
        <v>145667.79995420331</v>
      </c>
      <c r="L310" s="933">
        <f t="shared" si="33"/>
        <v>16133025.661063515</v>
      </c>
      <c r="M310" s="291"/>
      <c r="N310" s="291"/>
      <c r="O310" s="291"/>
      <c r="P310" s="291"/>
      <c r="Q310" s="291"/>
    </row>
    <row r="311" spans="1:17">
      <c r="A311" s="910"/>
      <c r="B311" s="930">
        <v>298</v>
      </c>
      <c r="C311" s="931">
        <f t="shared" si="29"/>
        <v>20265.575828129768</v>
      </c>
      <c r="D311" s="931">
        <f t="shared" si="28"/>
        <v>89350.114850743877</v>
      </c>
      <c r="E311" s="931">
        <f t="shared" si="30"/>
        <v>6146211.6784199541</v>
      </c>
      <c r="F311" s="291"/>
      <c r="G311" s="293"/>
      <c r="H311" s="930">
        <v>297</v>
      </c>
      <c r="I311" s="930">
        <f t="shared" si="34"/>
        <v>332</v>
      </c>
      <c r="J311" s="931">
        <f t="shared" si="32"/>
        <v>80665.128305317572</v>
      </c>
      <c r="K311" s="931">
        <f t="shared" si="31"/>
        <v>146396.13895397432</v>
      </c>
      <c r="L311" s="933">
        <f t="shared" si="33"/>
        <v>15986629.52210954</v>
      </c>
      <c r="M311" s="291"/>
      <c r="N311" s="291"/>
      <c r="O311" s="291"/>
      <c r="P311" s="291"/>
      <c r="Q311" s="291"/>
    </row>
    <row r="312" spans="1:17">
      <c r="A312" s="910"/>
      <c r="B312" s="930">
        <v>299</v>
      </c>
      <c r="C312" s="931">
        <f>IF(E311&lt;0.01,0,E311*$C$5/12)</f>
        <v>19975.18795486485</v>
      </c>
      <c r="D312" s="931">
        <f>IF($C$10&gt;B312,0,IF(C312&lt;0.01,0,$C$8-C312))</f>
        <v>89640.502724008809</v>
      </c>
      <c r="E312" s="931">
        <f t="shared" si="30"/>
        <v>6056571.1756959455</v>
      </c>
      <c r="F312" s="291"/>
      <c r="G312" s="293"/>
      <c r="H312" s="930">
        <v>298</v>
      </c>
      <c r="I312" s="930">
        <f t="shared" si="34"/>
        <v>333</v>
      </c>
      <c r="J312" s="931">
        <f t="shared" si="32"/>
        <v>79933.147610547705</v>
      </c>
      <c r="K312" s="931">
        <f t="shared" si="31"/>
        <v>147128.11964874418</v>
      </c>
      <c r="L312" s="933">
        <f t="shared" si="33"/>
        <v>15839501.402460797</v>
      </c>
      <c r="M312" s="291"/>
      <c r="N312" s="291"/>
      <c r="O312" s="291"/>
      <c r="P312" s="291"/>
      <c r="Q312" s="291"/>
    </row>
    <row r="313" spans="1:17">
      <c r="A313" s="929">
        <v>26</v>
      </c>
      <c r="B313" s="930">
        <v>300</v>
      </c>
      <c r="C313" s="931">
        <f t="shared" si="29"/>
        <v>19683.856321011823</v>
      </c>
      <c r="D313" s="931">
        <f t="shared" si="28"/>
        <v>89931.834357861837</v>
      </c>
      <c r="E313" s="931">
        <f t="shared" si="30"/>
        <v>5966639.3413380841</v>
      </c>
      <c r="F313" s="291"/>
      <c r="G313" s="293"/>
      <c r="H313" s="930">
        <v>299</v>
      </c>
      <c r="I313" s="930">
        <f t="shared" si="34"/>
        <v>334</v>
      </c>
      <c r="J313" s="931">
        <f t="shared" si="32"/>
        <v>79197.507012303977</v>
      </c>
      <c r="K313" s="931">
        <f t="shared" si="31"/>
        <v>147863.76024698792</v>
      </c>
      <c r="L313" s="933">
        <f t="shared" si="33"/>
        <v>15691637.642213808</v>
      </c>
      <c r="M313" s="291"/>
      <c r="N313" s="291"/>
      <c r="O313" s="291"/>
      <c r="P313" s="291"/>
      <c r="Q313" s="291"/>
    </row>
    <row r="314" spans="1:17">
      <c r="A314" s="910"/>
      <c r="B314" s="930">
        <v>301</v>
      </c>
      <c r="C314" s="931">
        <f t="shared" si="29"/>
        <v>19391.577859348774</v>
      </c>
      <c r="D314" s="931">
        <f t="shared" si="28"/>
        <v>90224.112819524875</v>
      </c>
      <c r="E314" s="931">
        <f t="shared" si="30"/>
        <v>5876415.2285185596</v>
      </c>
      <c r="F314" s="291"/>
      <c r="G314" s="293"/>
      <c r="H314" s="930">
        <v>300</v>
      </c>
      <c r="I314" s="930">
        <f t="shared" si="34"/>
        <v>335</v>
      </c>
      <c r="J314" s="931">
        <f t="shared" si="32"/>
        <v>78458.188211069035</v>
      </c>
      <c r="K314" s="931">
        <f t="shared" si="31"/>
        <v>148603.07904822286</v>
      </c>
      <c r="L314" s="933">
        <f t="shared" si="33"/>
        <v>15543034.563165586</v>
      </c>
      <c r="M314" s="291"/>
      <c r="N314" s="291"/>
      <c r="O314" s="291"/>
      <c r="P314" s="291"/>
      <c r="Q314" s="291"/>
    </row>
    <row r="315" spans="1:17">
      <c r="A315" s="910"/>
      <c r="B315" s="930">
        <v>302</v>
      </c>
      <c r="C315" s="931">
        <f t="shared" si="29"/>
        <v>19098.34949268532</v>
      </c>
      <c r="D315" s="931">
        <f t="shared" si="28"/>
        <v>90517.341186188336</v>
      </c>
      <c r="E315" s="931">
        <f t="shared" si="30"/>
        <v>5785897.8873323714</v>
      </c>
      <c r="F315" s="291"/>
      <c r="G315" s="293"/>
      <c r="H315" s="930">
        <v>301</v>
      </c>
      <c r="I315" s="930">
        <f t="shared" si="34"/>
        <v>336</v>
      </c>
      <c r="J315" s="931">
        <f t="shared" si="32"/>
        <v>77715.172815827929</v>
      </c>
      <c r="K315" s="931">
        <f t="shared" si="31"/>
        <v>149346.09444346395</v>
      </c>
      <c r="L315" s="933">
        <f t="shared" si="33"/>
        <v>15393688.468722122</v>
      </c>
      <c r="M315" s="291"/>
      <c r="N315" s="291"/>
      <c r="O315" s="291"/>
      <c r="P315" s="291"/>
      <c r="Q315" s="291"/>
    </row>
    <row r="316" spans="1:17">
      <c r="A316" s="910"/>
      <c r="B316" s="930">
        <v>303</v>
      </c>
      <c r="C316" s="931">
        <f t="shared" si="29"/>
        <v>18804.168133830208</v>
      </c>
      <c r="D316" s="931">
        <f t="shared" si="28"/>
        <v>90811.522545043437</v>
      </c>
      <c r="E316" s="931">
        <f t="shared" si="30"/>
        <v>5695086.3647873281</v>
      </c>
      <c r="F316" s="291"/>
      <c r="G316" s="293"/>
      <c r="H316" s="930">
        <v>302</v>
      </c>
      <c r="I316" s="930">
        <f t="shared" si="34"/>
        <v>337</v>
      </c>
      <c r="J316" s="931">
        <f t="shared" si="32"/>
        <v>76968.442343610615</v>
      </c>
      <c r="K316" s="931">
        <f t="shared" si="31"/>
        <v>150092.82491568127</v>
      </c>
      <c r="L316" s="933">
        <f t="shared" si="33"/>
        <v>15243595.643806441</v>
      </c>
      <c r="M316" s="291"/>
      <c r="N316" s="291"/>
      <c r="O316" s="291"/>
      <c r="P316" s="291"/>
      <c r="Q316" s="291"/>
    </row>
    <row r="317" spans="1:17">
      <c r="A317" s="910"/>
      <c r="B317" s="930">
        <v>304</v>
      </c>
      <c r="C317" s="931">
        <f t="shared" si="29"/>
        <v>18509.030685558817</v>
      </c>
      <c r="D317" s="931">
        <f t="shared" si="28"/>
        <v>91106.659993314839</v>
      </c>
      <c r="E317" s="931">
        <f t="shared" si="30"/>
        <v>5603979.7047940129</v>
      </c>
      <c r="F317" s="291"/>
      <c r="G317" s="293"/>
      <c r="H317" s="930">
        <v>303</v>
      </c>
      <c r="I317" s="930">
        <f t="shared" si="34"/>
        <v>338</v>
      </c>
      <c r="J317" s="931">
        <f t="shared" si="32"/>
        <v>76217.9782190322</v>
      </c>
      <c r="K317" s="931">
        <f t="shared" si="31"/>
        <v>150843.2890402597</v>
      </c>
      <c r="L317" s="933">
        <f t="shared" si="33"/>
        <v>15092752.354766181</v>
      </c>
      <c r="M317" s="291"/>
      <c r="N317" s="291"/>
      <c r="O317" s="291"/>
      <c r="P317" s="291"/>
      <c r="Q317" s="291"/>
    </row>
    <row r="318" spans="1:17">
      <c r="A318" s="910"/>
      <c r="B318" s="930">
        <v>305</v>
      </c>
      <c r="C318" s="931">
        <f t="shared" si="29"/>
        <v>18212.934040580541</v>
      </c>
      <c r="D318" s="931">
        <f t="shared" si="28"/>
        <v>91402.756638293111</v>
      </c>
      <c r="E318" s="931">
        <f t="shared" si="30"/>
        <v>5512576.9481557198</v>
      </c>
      <c r="F318" s="291"/>
      <c r="G318" s="293"/>
      <c r="H318" s="930">
        <v>304</v>
      </c>
      <c r="I318" s="930">
        <f t="shared" si="34"/>
        <v>339</v>
      </c>
      <c r="J318" s="931">
        <f t="shared" si="32"/>
        <v>75463.761773830905</v>
      </c>
      <c r="K318" s="931">
        <f t="shared" si="31"/>
        <v>151597.50548546098</v>
      </c>
      <c r="L318" s="933">
        <f t="shared" si="33"/>
        <v>14941154.849280721</v>
      </c>
      <c r="M318" s="291"/>
      <c r="N318" s="291"/>
      <c r="O318" s="291"/>
      <c r="P318" s="291"/>
      <c r="Q318" s="291"/>
    </row>
    <row r="319" spans="1:17">
      <c r="A319" s="910"/>
      <c r="B319" s="930">
        <v>306</v>
      </c>
      <c r="C319" s="931">
        <f t="shared" si="29"/>
        <v>17915.875081506088</v>
      </c>
      <c r="D319" s="931">
        <f t="shared" si="28"/>
        <v>91699.81559736756</v>
      </c>
      <c r="E319" s="931">
        <f t="shared" si="30"/>
        <v>5420877.1325583523</v>
      </c>
      <c r="F319" s="291"/>
      <c r="G319" s="293"/>
      <c r="H319" s="930">
        <v>305</v>
      </c>
      <c r="I319" s="930">
        <f t="shared" si="34"/>
        <v>340</v>
      </c>
      <c r="J319" s="931">
        <f t="shared" si="32"/>
        <v>74705.774246403598</v>
      </c>
      <c r="K319" s="931">
        <f t="shared" si="31"/>
        <v>152355.4930128883</v>
      </c>
      <c r="L319" s="933">
        <f t="shared" si="33"/>
        <v>14788799.356267832</v>
      </c>
      <c r="M319" s="291"/>
      <c r="N319" s="291"/>
      <c r="O319" s="291"/>
      <c r="P319" s="291"/>
      <c r="Q319" s="291"/>
    </row>
    <row r="320" spans="1:17">
      <c r="A320" s="910"/>
      <c r="B320" s="930">
        <v>307</v>
      </c>
      <c r="C320" s="931">
        <f t="shared" si="29"/>
        <v>17617.850680814645</v>
      </c>
      <c r="D320" s="931">
        <f t="shared" si="28"/>
        <v>91997.839998059004</v>
      </c>
      <c r="E320" s="931">
        <f t="shared" si="30"/>
        <v>5328879.2925602933</v>
      </c>
      <c r="F320" s="291"/>
      <c r="G320" s="293"/>
      <c r="H320" s="930">
        <v>306</v>
      </c>
      <c r="I320" s="930">
        <f t="shared" si="34"/>
        <v>341</v>
      </c>
      <c r="J320" s="931">
        <f t="shared" si="32"/>
        <v>73943.996781339156</v>
      </c>
      <c r="K320" s="931">
        <f t="shared" si="31"/>
        <v>153117.27047795273</v>
      </c>
      <c r="L320" s="933">
        <f t="shared" si="33"/>
        <v>14635682.08578988</v>
      </c>
      <c r="M320" s="291"/>
      <c r="N320" s="291"/>
      <c r="O320" s="291"/>
      <c r="P320" s="291"/>
      <c r="Q320" s="291"/>
    </row>
    <row r="321" spans="1:17">
      <c r="A321" s="910"/>
      <c r="B321" s="930">
        <v>308</v>
      </c>
      <c r="C321" s="931">
        <f t="shared" si="29"/>
        <v>17318.857700820954</v>
      </c>
      <c r="D321" s="931">
        <f t="shared" si="28"/>
        <v>92296.832978052698</v>
      </c>
      <c r="E321" s="931">
        <f t="shared" si="30"/>
        <v>5236582.4595822403</v>
      </c>
      <c r="F321" s="291"/>
      <c r="G321" s="293"/>
      <c r="H321" s="930">
        <v>307</v>
      </c>
      <c r="I321" s="930">
        <f t="shared" si="34"/>
        <v>342</v>
      </c>
      <c r="J321" s="931">
        <f t="shared" si="32"/>
        <v>73178.410428949399</v>
      </c>
      <c r="K321" s="931">
        <f t="shared" si="31"/>
        <v>153882.8568303425</v>
      </c>
      <c r="L321" s="933">
        <f t="shared" si="33"/>
        <v>14481799.228959538</v>
      </c>
      <c r="M321" s="291"/>
      <c r="N321" s="291"/>
      <c r="O321" s="291"/>
      <c r="P321" s="291"/>
      <c r="Q321" s="291"/>
    </row>
    <row r="322" spans="1:17">
      <c r="A322" s="910"/>
      <c r="B322" s="930">
        <v>309</v>
      </c>
      <c r="C322" s="931">
        <f t="shared" si="29"/>
        <v>17018.892993642283</v>
      </c>
      <c r="D322" s="931">
        <f t="shared" si="28"/>
        <v>92596.797685231373</v>
      </c>
      <c r="E322" s="931">
        <f t="shared" si="30"/>
        <v>5143985.6618970092</v>
      </c>
      <c r="F322" s="291"/>
      <c r="G322" s="293"/>
      <c r="H322" s="930">
        <v>308</v>
      </c>
      <c r="I322" s="930">
        <f t="shared" si="34"/>
        <v>343</v>
      </c>
      <c r="J322" s="931">
        <f t="shared" si="32"/>
        <v>72408.996144797697</v>
      </c>
      <c r="K322" s="931">
        <f t="shared" si="31"/>
        <v>154652.27111449419</v>
      </c>
      <c r="L322" s="933">
        <f t="shared" si="33"/>
        <v>14327146.957845043</v>
      </c>
      <c r="M322" s="291"/>
      <c r="N322" s="291"/>
      <c r="O322" s="291"/>
      <c r="P322" s="291"/>
      <c r="Q322" s="291"/>
    </row>
    <row r="323" spans="1:17">
      <c r="A323" s="910"/>
      <c r="B323" s="930">
        <v>310</v>
      </c>
      <c r="C323" s="931">
        <f t="shared" si="29"/>
        <v>16717.95340116528</v>
      </c>
      <c r="D323" s="931">
        <f t="shared" si="28"/>
        <v>92897.737277708366</v>
      </c>
      <c r="E323" s="931">
        <f t="shared" si="30"/>
        <v>5051087.9246193012</v>
      </c>
      <c r="F323" s="291"/>
      <c r="G323" s="293"/>
      <c r="H323" s="930">
        <v>309</v>
      </c>
      <c r="I323" s="930">
        <f t="shared" si="34"/>
        <v>344</v>
      </c>
      <c r="J323" s="931">
        <f t="shared" si="32"/>
        <v>71635.734789225215</v>
      </c>
      <c r="K323" s="931">
        <f t="shared" si="31"/>
        <v>155425.53247006668</v>
      </c>
      <c r="L323" s="933">
        <f t="shared" si="33"/>
        <v>14171721.425374977</v>
      </c>
      <c r="M323" s="291"/>
      <c r="N323" s="291"/>
      <c r="O323" s="291"/>
      <c r="P323" s="291"/>
      <c r="Q323" s="291"/>
    </row>
    <row r="324" spans="1:17">
      <c r="A324" s="910"/>
      <c r="B324" s="930">
        <v>311</v>
      </c>
      <c r="C324" s="931">
        <f t="shared" si="29"/>
        <v>16416.03575501273</v>
      </c>
      <c r="D324" s="931">
        <f t="shared" si="28"/>
        <v>93199.654923860915</v>
      </c>
      <c r="E324" s="931">
        <f t="shared" si="30"/>
        <v>4957888.2696954403</v>
      </c>
      <c r="F324" s="291"/>
      <c r="G324" s="293"/>
      <c r="H324" s="930">
        <v>310</v>
      </c>
      <c r="I324" s="930">
        <f t="shared" si="34"/>
        <v>345</v>
      </c>
      <c r="J324" s="931">
        <f t="shared" si="32"/>
        <v>70858.607126874893</v>
      </c>
      <c r="K324" s="931">
        <f t="shared" si="31"/>
        <v>156202.66013241699</v>
      </c>
      <c r="L324" s="933">
        <f t="shared" si="33"/>
        <v>14015518.76524256</v>
      </c>
      <c r="M324" s="291"/>
      <c r="N324" s="291"/>
      <c r="O324" s="291"/>
      <c r="P324" s="291"/>
      <c r="Q324" s="291"/>
    </row>
    <row r="325" spans="1:17">
      <c r="A325" s="929">
        <v>27</v>
      </c>
      <c r="B325" s="930">
        <v>312</v>
      </c>
      <c r="C325" s="931">
        <f t="shared" si="29"/>
        <v>16113.136876510182</v>
      </c>
      <c r="D325" s="931">
        <f t="shared" si="28"/>
        <v>93502.553802363473</v>
      </c>
      <c r="E325" s="931">
        <f t="shared" si="30"/>
        <v>4864385.7158930767</v>
      </c>
      <c r="F325" s="291"/>
      <c r="G325" s="293"/>
      <c r="H325" s="930">
        <v>311</v>
      </c>
      <c r="I325" s="930">
        <f t="shared" si="34"/>
        <v>346</v>
      </c>
      <c r="J325" s="931">
        <f t="shared" si="32"/>
        <v>70077.593826212789</v>
      </c>
      <c r="K325" s="931">
        <f t="shared" si="31"/>
        <v>156983.67343307909</v>
      </c>
      <c r="L325" s="933">
        <f t="shared" si="33"/>
        <v>13858535.091809481</v>
      </c>
      <c r="M325" s="291"/>
      <c r="N325" s="291"/>
      <c r="O325" s="291"/>
      <c r="P325" s="291"/>
      <c r="Q325" s="291"/>
    </row>
    <row r="326" spans="1:17">
      <c r="A326" s="910"/>
      <c r="B326" s="930">
        <v>313</v>
      </c>
      <c r="C326" s="931">
        <f t="shared" si="29"/>
        <v>15809.253576652498</v>
      </c>
      <c r="D326" s="931">
        <f t="shared" si="28"/>
        <v>93806.437102221156</v>
      </c>
      <c r="E326" s="931">
        <f t="shared" si="30"/>
        <v>4770579.2787908558</v>
      </c>
      <c r="F326" s="291"/>
      <c r="G326" s="293"/>
      <c r="H326" s="930">
        <v>312</v>
      </c>
      <c r="I326" s="930">
        <f t="shared" si="34"/>
        <v>347</v>
      </c>
      <c r="J326" s="931">
        <f t="shared" si="32"/>
        <v>69292.675459047401</v>
      </c>
      <c r="K326" s="931">
        <f t="shared" si="31"/>
        <v>157768.5918002445</v>
      </c>
      <c r="L326" s="933">
        <f t="shared" si="33"/>
        <v>13700766.500009237</v>
      </c>
      <c r="M326" s="291"/>
      <c r="N326" s="291"/>
      <c r="O326" s="291"/>
      <c r="P326" s="291"/>
      <c r="Q326" s="291"/>
    </row>
    <row r="327" spans="1:17">
      <c r="A327" s="910"/>
      <c r="B327" s="930">
        <v>314</v>
      </c>
      <c r="C327" s="931">
        <f t="shared" si="29"/>
        <v>15504.38265607028</v>
      </c>
      <c r="D327" s="931">
        <f t="shared" si="28"/>
        <v>94111.308022803365</v>
      </c>
      <c r="E327" s="931">
        <f t="shared" si="30"/>
        <v>4676467.9707680522</v>
      </c>
      <c r="F327" s="291"/>
      <c r="G327" s="293"/>
      <c r="H327" s="930">
        <v>313</v>
      </c>
      <c r="I327" s="930">
        <f t="shared" si="34"/>
        <v>348</v>
      </c>
      <c r="J327" s="931">
        <f t="shared" si="32"/>
        <v>68503.832500046177</v>
      </c>
      <c r="K327" s="931">
        <f t="shared" si="31"/>
        <v>158557.43475924572</v>
      </c>
      <c r="L327" s="933">
        <f t="shared" si="33"/>
        <v>13542209.065249991</v>
      </c>
      <c r="M327" s="291"/>
      <c r="N327" s="291"/>
      <c r="O327" s="291"/>
      <c r="P327" s="291"/>
      <c r="Q327" s="291"/>
    </row>
    <row r="328" spans="1:17">
      <c r="A328" s="910"/>
      <c r="B328" s="930">
        <v>315</v>
      </c>
      <c r="C328" s="931">
        <f t="shared" si="29"/>
        <v>15198.52090499617</v>
      </c>
      <c r="D328" s="931">
        <f t="shared" si="28"/>
        <v>94417.169773877482</v>
      </c>
      <c r="E328" s="931">
        <f t="shared" si="30"/>
        <v>4582050.8009941746</v>
      </c>
      <c r="F328" s="291"/>
      <c r="G328" s="293"/>
      <c r="H328" s="930">
        <v>314</v>
      </c>
      <c r="I328" s="930">
        <f t="shared" si="34"/>
        <v>349</v>
      </c>
      <c r="J328" s="931">
        <f t="shared" si="32"/>
        <v>67711.04532624995</v>
      </c>
      <c r="K328" s="931">
        <f t="shared" si="31"/>
        <v>159350.22193304193</v>
      </c>
      <c r="L328" s="933">
        <f t="shared" si="33"/>
        <v>13382858.843316948</v>
      </c>
      <c r="M328" s="291"/>
      <c r="N328" s="291"/>
      <c r="O328" s="291"/>
      <c r="P328" s="291"/>
      <c r="Q328" s="291"/>
    </row>
    <row r="329" spans="1:17">
      <c r="A329" s="910"/>
      <c r="B329" s="930">
        <v>316</v>
      </c>
      <c r="C329" s="931">
        <f t="shared" si="29"/>
        <v>14891.665103231067</v>
      </c>
      <c r="D329" s="931">
        <f t="shared" si="28"/>
        <v>94724.02557564259</v>
      </c>
      <c r="E329" s="931">
        <f t="shared" si="30"/>
        <v>4487326.7754185321</v>
      </c>
      <c r="F329" s="291"/>
      <c r="G329" s="293"/>
      <c r="H329" s="930">
        <v>315</v>
      </c>
      <c r="I329" s="930">
        <f t="shared" si="34"/>
        <v>350</v>
      </c>
      <c r="J329" s="931">
        <f t="shared" si="32"/>
        <v>66914.294216584734</v>
      </c>
      <c r="K329" s="931">
        <f t="shared" si="31"/>
        <v>160146.97304270716</v>
      </c>
      <c r="L329" s="933">
        <f t="shared" si="33"/>
        <v>13222711.87027424</v>
      </c>
      <c r="M329" s="291"/>
      <c r="N329" s="291"/>
      <c r="O329" s="291"/>
      <c r="P329" s="291"/>
      <c r="Q329" s="291"/>
    </row>
    <row r="330" spans="1:17">
      <c r="A330" s="910"/>
      <c r="B330" s="930">
        <v>317</v>
      </c>
      <c r="C330" s="931">
        <f t="shared" si="29"/>
        <v>14583.812020110228</v>
      </c>
      <c r="D330" s="931">
        <f t="shared" si="28"/>
        <v>95031.878658763424</v>
      </c>
      <c r="E330" s="931">
        <f t="shared" si="30"/>
        <v>4392294.8967597689</v>
      </c>
      <c r="F330" s="291"/>
      <c r="G330" s="293"/>
      <c r="H330" s="930">
        <v>316</v>
      </c>
      <c r="I330" s="930">
        <f t="shared" si="34"/>
        <v>351</v>
      </c>
      <c r="J330" s="931">
        <f t="shared" si="32"/>
        <v>66113.559351371194</v>
      </c>
      <c r="K330" s="931">
        <f t="shared" si="31"/>
        <v>160947.7079079207</v>
      </c>
      <c r="L330" s="933">
        <f t="shared" si="33"/>
        <v>13061764.162366319</v>
      </c>
      <c r="M330" s="291"/>
      <c r="N330" s="291"/>
      <c r="O330" s="291"/>
      <c r="P330" s="291"/>
      <c r="Q330" s="291"/>
    </row>
    <row r="331" spans="1:17">
      <c r="A331" s="910"/>
      <c r="B331" s="930">
        <v>318</v>
      </c>
      <c r="C331" s="931">
        <f t="shared" si="29"/>
        <v>14274.958414469249</v>
      </c>
      <c r="D331" s="931">
        <f t="shared" si="28"/>
        <v>95340.732264404403</v>
      </c>
      <c r="E331" s="931">
        <f t="shared" si="30"/>
        <v>4296954.1644953648</v>
      </c>
      <c r="F331" s="291"/>
      <c r="G331" s="293"/>
      <c r="H331" s="930">
        <v>317</v>
      </c>
      <c r="I331" s="930">
        <f t="shared" si="34"/>
        <v>352</v>
      </c>
      <c r="J331" s="931">
        <f t="shared" si="32"/>
        <v>65308.820811831596</v>
      </c>
      <c r="K331" s="931">
        <f t="shared" si="31"/>
        <v>161752.4464474603</v>
      </c>
      <c r="L331" s="933">
        <f t="shared" si="33"/>
        <v>12900011.715918859</v>
      </c>
      <c r="M331" s="291"/>
      <c r="N331" s="291"/>
      <c r="O331" s="291"/>
      <c r="P331" s="291"/>
      <c r="Q331" s="291"/>
    </row>
    <row r="332" spans="1:17">
      <c r="A332" s="910"/>
      <c r="B332" s="930">
        <v>319</v>
      </c>
      <c r="C332" s="931">
        <f t="shared" si="29"/>
        <v>13965.101034609936</v>
      </c>
      <c r="D332" s="931">
        <f t="shared" si="28"/>
        <v>95650.589644263717</v>
      </c>
      <c r="E332" s="931">
        <f t="shared" si="30"/>
        <v>4201303.5748511013</v>
      </c>
      <c r="F332" s="291"/>
      <c r="G332" s="293"/>
      <c r="H332" s="930">
        <v>318</v>
      </c>
      <c r="I332" s="930">
        <f t="shared" si="34"/>
        <v>353</v>
      </c>
      <c r="J332" s="931">
        <f t="shared" si="32"/>
        <v>64500.058579594297</v>
      </c>
      <c r="K332" s="931">
        <f t="shared" si="31"/>
        <v>162561.20867969759</v>
      </c>
      <c r="L332" s="933">
        <f t="shared" si="33"/>
        <v>12737450.507239161</v>
      </c>
      <c r="M332" s="291"/>
      <c r="N332" s="291"/>
      <c r="O332" s="291"/>
      <c r="P332" s="291"/>
      <c r="Q332" s="291"/>
    </row>
    <row r="333" spans="1:17">
      <c r="A333" s="910"/>
      <c r="B333" s="930">
        <v>320</v>
      </c>
      <c r="C333" s="931">
        <f t="shared" si="29"/>
        <v>13654.236618266079</v>
      </c>
      <c r="D333" s="931">
        <f t="shared" si="28"/>
        <v>95961.454060607575</v>
      </c>
      <c r="E333" s="931">
        <f t="shared" si="30"/>
        <v>4105342.1207904937</v>
      </c>
      <c r="F333" s="291"/>
      <c r="G333" s="293"/>
      <c r="H333" s="930">
        <v>319</v>
      </c>
      <c r="I333" s="930">
        <f t="shared" si="34"/>
        <v>354</v>
      </c>
      <c r="J333" s="931">
        <f t="shared" si="32"/>
        <v>63687.252536195803</v>
      </c>
      <c r="K333" s="931">
        <f t="shared" si="31"/>
        <v>163374.0147230961</v>
      </c>
      <c r="L333" s="933">
        <f t="shared" si="33"/>
        <v>12574076.492516065</v>
      </c>
      <c r="M333" s="291"/>
      <c r="N333" s="291"/>
      <c r="O333" s="291"/>
      <c r="P333" s="291"/>
      <c r="Q333" s="291"/>
    </row>
    <row r="334" spans="1:17">
      <c r="A334" s="910"/>
      <c r="B334" s="930">
        <v>321</v>
      </c>
      <c r="C334" s="931">
        <f t="shared" si="29"/>
        <v>13342.361892569104</v>
      </c>
      <c r="D334" s="931">
        <f t="shared" ref="D334:D373" si="35">IF($C$10&gt;B334,0,IF(C334&lt;0.01,0,$C$8-C334))</f>
        <v>96273.328786304541</v>
      </c>
      <c r="E334" s="931">
        <f t="shared" si="30"/>
        <v>4009068.792004189</v>
      </c>
      <c r="F334" s="291"/>
      <c r="G334" s="293"/>
      <c r="H334" s="930">
        <v>320</v>
      </c>
      <c r="I334" s="930">
        <f t="shared" si="34"/>
        <v>355</v>
      </c>
      <c r="J334" s="931">
        <f t="shared" si="32"/>
        <v>62870.382462580317</v>
      </c>
      <c r="K334" s="931">
        <f t="shared" si="31"/>
        <v>164190.88479671159</v>
      </c>
      <c r="L334" s="933">
        <f t="shared" si="33"/>
        <v>12409885.607719354</v>
      </c>
      <c r="M334" s="291"/>
      <c r="N334" s="291"/>
      <c r="O334" s="291"/>
      <c r="P334" s="291"/>
      <c r="Q334" s="291"/>
    </row>
    <row r="335" spans="1:17">
      <c r="A335" s="910"/>
      <c r="B335" s="930">
        <v>322</v>
      </c>
      <c r="C335" s="931">
        <f t="shared" ref="C335:C373" si="36">IF(E334&lt;0.01,0,E334*$C$5/12)</f>
        <v>13029.473574013615</v>
      </c>
      <c r="D335" s="931">
        <f t="shared" si="35"/>
        <v>96586.217104860043</v>
      </c>
      <c r="E335" s="931">
        <f t="shared" ref="E335:E373" si="37">IF(E334&lt;0.01,0,E334-D335)</f>
        <v>3912482.5748993289</v>
      </c>
      <c r="F335" s="291"/>
      <c r="G335" s="293"/>
      <c r="H335" s="930">
        <v>321</v>
      </c>
      <c r="I335" s="930">
        <f t="shared" si="34"/>
        <v>356</v>
      </c>
      <c r="J335" s="931">
        <f t="shared" si="32"/>
        <v>62049.428038596765</v>
      </c>
      <c r="K335" s="931">
        <f t="shared" ref="K335:K374" si="38">IF($I$10&gt;H335,0,IF(J335&lt;0.01,0,$I$8-J335))</f>
        <v>165011.83922069514</v>
      </c>
      <c r="L335" s="933">
        <f t="shared" si="33"/>
        <v>12244873.768498659</v>
      </c>
      <c r="M335" s="291"/>
      <c r="N335" s="291"/>
      <c r="O335" s="291"/>
      <c r="P335" s="291"/>
      <c r="Q335" s="291"/>
    </row>
    <row r="336" spans="1:17">
      <c r="A336" s="910"/>
      <c r="B336" s="930">
        <v>323</v>
      </c>
      <c r="C336" s="931">
        <f t="shared" si="36"/>
        <v>12715.568368422819</v>
      </c>
      <c r="D336" s="931">
        <f t="shared" si="35"/>
        <v>96900.122310450839</v>
      </c>
      <c r="E336" s="931">
        <f t="shared" si="37"/>
        <v>3815582.4525888781</v>
      </c>
      <c r="F336" s="291"/>
      <c r="G336" s="293"/>
      <c r="H336" s="930">
        <v>322</v>
      </c>
      <c r="I336" s="930">
        <f t="shared" si="34"/>
        <v>357</v>
      </c>
      <c r="J336" s="931">
        <f t="shared" ref="J336:J374" si="39">IF(L335&lt;0.01,0,L335*$I$5/12)</f>
        <v>61224.368842493299</v>
      </c>
      <c r="K336" s="931">
        <f t="shared" si="38"/>
        <v>165836.89841679859</v>
      </c>
      <c r="L336" s="933">
        <f t="shared" ref="L336:L374" si="40">IF(L335&lt;0.01,0,L335-K336)</f>
        <v>12079036.870081861</v>
      </c>
      <c r="M336" s="291"/>
      <c r="N336" s="291"/>
      <c r="O336" s="291"/>
      <c r="P336" s="291"/>
      <c r="Q336" s="291"/>
    </row>
    <row r="337" spans="1:17">
      <c r="A337" s="929">
        <v>28</v>
      </c>
      <c r="B337" s="930">
        <v>324</v>
      </c>
      <c r="C337" s="931">
        <f t="shared" si="36"/>
        <v>12400.642970913854</v>
      </c>
      <c r="D337" s="931">
        <f t="shared" si="35"/>
        <v>97215.047707959806</v>
      </c>
      <c r="E337" s="931">
        <f t="shared" si="37"/>
        <v>3718367.4048809181</v>
      </c>
      <c r="F337" s="291"/>
      <c r="G337" s="293"/>
      <c r="H337" s="930">
        <v>323</v>
      </c>
      <c r="I337" s="930">
        <f t="shared" ref="I337:I374" si="41">I336+1</f>
        <v>358</v>
      </c>
      <c r="J337" s="931">
        <f t="shared" si="39"/>
        <v>60395.184350409305</v>
      </c>
      <c r="K337" s="931">
        <f t="shared" si="38"/>
        <v>166666.08290888258</v>
      </c>
      <c r="L337" s="933">
        <f t="shared" si="40"/>
        <v>11912370.787172979</v>
      </c>
      <c r="M337" s="291"/>
      <c r="N337" s="291"/>
      <c r="O337" s="291"/>
      <c r="P337" s="291"/>
      <c r="Q337" s="291"/>
    </row>
    <row r="338" spans="1:17">
      <c r="A338" s="910"/>
      <c r="B338" s="930">
        <v>325</v>
      </c>
      <c r="C338" s="931">
        <f t="shared" si="36"/>
        <v>12084.694065862983</v>
      </c>
      <c r="D338" s="931">
        <f t="shared" si="35"/>
        <v>97530.996613010677</v>
      </c>
      <c r="E338" s="931">
        <f t="shared" si="37"/>
        <v>3620836.4082679073</v>
      </c>
      <c r="F338" s="291"/>
      <c r="G338" s="293"/>
      <c r="H338" s="930">
        <v>324</v>
      </c>
      <c r="I338" s="930">
        <f t="shared" si="41"/>
        <v>359</v>
      </c>
      <c r="J338" s="931">
        <f t="shared" si="39"/>
        <v>59561.853935864892</v>
      </c>
      <c r="K338" s="931">
        <f t="shared" si="38"/>
        <v>167499.413323427</v>
      </c>
      <c r="L338" s="933">
        <f t="shared" si="40"/>
        <v>11744871.373849552</v>
      </c>
      <c r="M338" s="291"/>
      <c r="N338" s="291"/>
      <c r="O338" s="291"/>
      <c r="P338" s="291"/>
      <c r="Q338" s="291"/>
    </row>
    <row r="339" spans="1:17">
      <c r="A339" s="910"/>
      <c r="B339" s="930">
        <v>326</v>
      </c>
      <c r="C339" s="931">
        <f t="shared" si="36"/>
        <v>11767.718326870699</v>
      </c>
      <c r="D339" s="931">
        <f t="shared" si="35"/>
        <v>97847.972352002951</v>
      </c>
      <c r="E339" s="931">
        <f t="shared" si="37"/>
        <v>3522988.4359159046</v>
      </c>
      <c r="F339" s="291"/>
      <c r="G339" s="293"/>
      <c r="H339" s="930">
        <v>325</v>
      </c>
      <c r="I339" s="930">
        <f t="shared" si="41"/>
        <v>360</v>
      </c>
      <c r="J339" s="931">
        <f t="shared" si="39"/>
        <v>58724.356869247764</v>
      </c>
      <c r="K339" s="931">
        <f t="shared" si="38"/>
        <v>168336.91039004413</v>
      </c>
      <c r="L339" s="933">
        <f t="shared" si="40"/>
        <v>11576534.463459508</v>
      </c>
      <c r="M339" s="291"/>
      <c r="N339" s="291"/>
      <c r="O339" s="291"/>
      <c r="P339" s="291"/>
      <c r="Q339" s="291"/>
    </row>
    <row r="340" spans="1:17">
      <c r="A340" s="910"/>
      <c r="B340" s="930">
        <v>327</v>
      </c>
      <c r="C340" s="931">
        <f t="shared" si="36"/>
        <v>11449.71241672669</v>
      </c>
      <c r="D340" s="931">
        <f t="shared" si="35"/>
        <v>98165.978262146964</v>
      </c>
      <c r="E340" s="931">
        <f t="shared" si="37"/>
        <v>3424822.4576537577</v>
      </c>
      <c r="F340" s="291"/>
      <c r="G340" s="293"/>
      <c r="H340" s="930">
        <v>326</v>
      </c>
      <c r="I340" s="930">
        <f t="shared" si="41"/>
        <v>361</v>
      </c>
      <c r="J340" s="931">
        <f t="shared" si="39"/>
        <v>57882.67231729754</v>
      </c>
      <c r="K340" s="931">
        <f t="shared" si="38"/>
        <v>169178.59494199435</v>
      </c>
      <c r="L340" s="933">
        <f t="shared" si="40"/>
        <v>11407355.868517514</v>
      </c>
      <c r="M340" s="291"/>
      <c r="N340" s="291"/>
      <c r="O340" s="291"/>
      <c r="P340" s="291"/>
      <c r="Q340" s="291"/>
    </row>
    <row r="341" spans="1:17">
      <c r="A341" s="910"/>
      <c r="B341" s="930">
        <v>328</v>
      </c>
      <c r="C341" s="931">
        <f t="shared" si="36"/>
        <v>11130.672987374712</v>
      </c>
      <c r="D341" s="931">
        <f t="shared" si="35"/>
        <v>98485.017691498942</v>
      </c>
      <c r="E341" s="931">
        <f t="shared" si="37"/>
        <v>3326337.4399622586</v>
      </c>
      <c r="F341" s="291"/>
      <c r="G341" s="293"/>
      <c r="H341" s="930">
        <v>327</v>
      </c>
      <c r="I341" s="930">
        <f t="shared" si="41"/>
        <v>362</v>
      </c>
      <c r="J341" s="931">
        <f t="shared" si="39"/>
        <v>57036.779342587572</v>
      </c>
      <c r="K341" s="931">
        <f t="shared" si="38"/>
        <v>170024.48791670433</v>
      </c>
      <c r="L341" s="933">
        <f t="shared" si="40"/>
        <v>11237331.38060081</v>
      </c>
      <c r="M341" s="291"/>
      <c r="N341" s="291"/>
      <c r="O341" s="291"/>
      <c r="P341" s="291"/>
      <c r="Q341" s="291"/>
    </row>
    <row r="342" spans="1:17">
      <c r="A342" s="910"/>
      <c r="B342" s="930">
        <v>329</v>
      </c>
      <c r="C342" s="931">
        <f t="shared" si="36"/>
        <v>10810.596679877341</v>
      </c>
      <c r="D342" s="931">
        <f t="shared" si="35"/>
        <v>98805.093998996308</v>
      </c>
      <c r="E342" s="931">
        <f t="shared" si="37"/>
        <v>3227532.345963262</v>
      </c>
      <c r="F342" s="291"/>
      <c r="G342" s="293"/>
      <c r="H342" s="930">
        <v>328</v>
      </c>
      <c r="I342" s="930">
        <f t="shared" si="41"/>
        <v>363</v>
      </c>
      <c r="J342" s="931">
        <f t="shared" si="39"/>
        <v>56186.656903004048</v>
      </c>
      <c r="K342" s="931">
        <f t="shared" si="38"/>
        <v>170874.61035628786</v>
      </c>
      <c r="L342" s="933">
        <f t="shared" si="40"/>
        <v>11066456.770244522</v>
      </c>
      <c r="M342" s="291"/>
      <c r="N342" s="291"/>
      <c r="O342" s="291"/>
      <c r="P342" s="291"/>
      <c r="Q342" s="291"/>
    </row>
    <row r="343" spans="1:17">
      <c r="A343" s="910"/>
      <c r="B343" s="930">
        <v>330</v>
      </c>
      <c r="C343" s="931">
        <f t="shared" si="36"/>
        <v>10489.480124380601</v>
      </c>
      <c r="D343" s="931">
        <f t="shared" si="35"/>
        <v>99126.210554493053</v>
      </c>
      <c r="E343" s="931">
        <f t="shared" si="37"/>
        <v>3128406.1354087689</v>
      </c>
      <c r="F343" s="291"/>
      <c r="G343" s="293"/>
      <c r="H343" s="930">
        <v>329</v>
      </c>
      <c r="I343" s="930">
        <f t="shared" si="41"/>
        <v>364</v>
      </c>
      <c r="J343" s="931">
        <f t="shared" si="39"/>
        <v>55332.283851222608</v>
      </c>
      <c r="K343" s="931">
        <f t="shared" si="38"/>
        <v>171728.9834080693</v>
      </c>
      <c r="L343" s="933">
        <f t="shared" si="40"/>
        <v>10894727.786836453</v>
      </c>
      <c r="M343" s="291"/>
      <c r="N343" s="291"/>
      <c r="O343" s="291"/>
      <c r="P343" s="291"/>
      <c r="Q343" s="291"/>
    </row>
    <row r="344" spans="1:17">
      <c r="A344" s="910"/>
      <c r="B344" s="930">
        <v>331</v>
      </c>
      <c r="C344" s="931">
        <f t="shared" si="36"/>
        <v>10167.3199400785</v>
      </c>
      <c r="D344" s="931">
        <f t="shared" si="35"/>
        <v>99448.370738795158</v>
      </c>
      <c r="E344" s="931">
        <f t="shared" si="37"/>
        <v>3028957.7646699739</v>
      </c>
      <c r="F344" s="291"/>
      <c r="G344" s="293"/>
      <c r="H344" s="930">
        <v>330</v>
      </c>
      <c r="I344" s="930">
        <f t="shared" si="41"/>
        <v>365</v>
      </c>
      <c r="J344" s="931">
        <f t="shared" si="39"/>
        <v>54473.638934182265</v>
      </c>
      <c r="K344" s="931">
        <f t="shared" si="38"/>
        <v>172587.62832510963</v>
      </c>
      <c r="L344" s="933">
        <f t="shared" si="40"/>
        <v>10722140.158511342</v>
      </c>
      <c r="M344" s="291"/>
      <c r="N344" s="291"/>
      <c r="O344" s="291"/>
      <c r="P344" s="291"/>
      <c r="Q344" s="291"/>
    </row>
    <row r="345" spans="1:17">
      <c r="A345" s="910"/>
      <c r="B345" s="930">
        <v>332</v>
      </c>
      <c r="C345" s="931">
        <f t="shared" si="36"/>
        <v>9844.1127351774139</v>
      </c>
      <c r="D345" s="931">
        <f t="shared" si="35"/>
        <v>99771.577943696233</v>
      </c>
      <c r="E345" s="931">
        <f t="shared" si="37"/>
        <v>2929186.1867262777</v>
      </c>
      <c r="F345" s="291"/>
      <c r="G345" s="293"/>
      <c r="H345" s="930">
        <v>331</v>
      </c>
      <c r="I345" s="930">
        <f t="shared" si="41"/>
        <v>366</v>
      </c>
      <c r="J345" s="931">
        <f t="shared" si="39"/>
        <v>53610.700792556709</v>
      </c>
      <c r="K345" s="931">
        <f t="shared" si="38"/>
        <v>173450.56646673518</v>
      </c>
      <c r="L345" s="933">
        <f t="shared" si="40"/>
        <v>10548689.592044607</v>
      </c>
      <c r="M345" s="291"/>
      <c r="N345" s="291"/>
      <c r="O345" s="291"/>
      <c r="P345" s="291"/>
      <c r="Q345" s="291"/>
    </row>
    <row r="346" spans="1:17">
      <c r="A346" s="910"/>
      <c r="B346" s="930">
        <v>333</v>
      </c>
      <c r="C346" s="931">
        <f t="shared" si="36"/>
        <v>9519.8551068604029</v>
      </c>
      <c r="D346" s="931">
        <f t="shared" si="35"/>
        <v>100095.83557201325</v>
      </c>
      <c r="E346" s="931">
        <f t="shared" si="37"/>
        <v>2829090.3511542645</v>
      </c>
      <c r="F346" s="291"/>
      <c r="G346" s="293"/>
      <c r="H346" s="930">
        <v>332</v>
      </c>
      <c r="I346" s="930">
        <f t="shared" si="41"/>
        <v>367</v>
      </c>
      <c r="J346" s="931">
        <f t="shared" si="39"/>
        <v>52743.447960223035</v>
      </c>
      <c r="K346" s="931">
        <f t="shared" si="38"/>
        <v>174317.81929906885</v>
      </c>
      <c r="L346" s="933">
        <f t="shared" si="40"/>
        <v>10374371.772745539</v>
      </c>
      <c r="M346" s="291"/>
      <c r="N346" s="291"/>
      <c r="O346" s="291"/>
      <c r="P346" s="291"/>
      <c r="Q346" s="291"/>
    </row>
    <row r="347" spans="1:17">
      <c r="A347" s="910"/>
      <c r="B347" s="930">
        <v>334</v>
      </c>
      <c r="C347" s="931">
        <f t="shared" si="36"/>
        <v>9194.5436412513609</v>
      </c>
      <c r="D347" s="931">
        <f t="shared" si="35"/>
        <v>100421.14703762229</v>
      </c>
      <c r="E347" s="931">
        <f t="shared" si="37"/>
        <v>2728669.2041166425</v>
      </c>
      <c r="F347" s="291"/>
      <c r="G347" s="293"/>
      <c r="H347" s="930">
        <v>333</v>
      </c>
      <c r="I347" s="930">
        <f t="shared" si="41"/>
        <v>368</v>
      </c>
      <c r="J347" s="931">
        <f t="shared" si="39"/>
        <v>51871.858863727692</v>
      </c>
      <c r="K347" s="931">
        <f t="shared" si="38"/>
        <v>175189.40839556421</v>
      </c>
      <c r="L347" s="933">
        <f t="shared" si="40"/>
        <v>10199182.364349974</v>
      </c>
      <c r="M347" s="291"/>
      <c r="N347" s="291"/>
      <c r="O347" s="291"/>
      <c r="P347" s="291"/>
      <c r="Q347" s="291"/>
    </row>
    <row r="348" spans="1:17">
      <c r="A348" s="910"/>
      <c r="B348" s="930">
        <v>335</v>
      </c>
      <c r="C348" s="931">
        <f t="shared" si="36"/>
        <v>8868.174913379089</v>
      </c>
      <c r="D348" s="931">
        <f t="shared" si="35"/>
        <v>100747.51576549457</v>
      </c>
      <c r="E348" s="931">
        <f t="shared" si="37"/>
        <v>2627921.6883511478</v>
      </c>
      <c r="F348" s="291"/>
      <c r="G348" s="293"/>
      <c r="H348" s="930">
        <v>334</v>
      </c>
      <c r="I348" s="930">
        <f t="shared" si="41"/>
        <v>369</v>
      </c>
      <c r="J348" s="931">
        <f t="shared" si="39"/>
        <v>50995.911821749869</v>
      </c>
      <c r="K348" s="931">
        <f t="shared" si="38"/>
        <v>176065.35543754202</v>
      </c>
      <c r="L348" s="933">
        <f t="shared" si="40"/>
        <v>10023117.008912433</v>
      </c>
      <c r="M348" s="291"/>
      <c r="N348" s="291"/>
      <c r="O348" s="291"/>
      <c r="P348" s="291"/>
      <c r="Q348" s="291"/>
    </row>
    <row r="349" spans="1:17">
      <c r="A349" s="929">
        <v>29</v>
      </c>
      <c r="B349" s="930">
        <v>336</v>
      </c>
      <c r="C349" s="931">
        <f t="shared" si="36"/>
        <v>8540.7454871412301</v>
      </c>
      <c r="D349" s="931">
        <f t="shared" si="35"/>
        <v>101074.94519173242</v>
      </c>
      <c r="E349" s="931">
        <f t="shared" si="37"/>
        <v>2526846.7431594152</v>
      </c>
      <c r="F349" s="291"/>
      <c r="G349" s="293"/>
      <c r="H349" s="930">
        <v>335</v>
      </c>
      <c r="I349" s="930">
        <f t="shared" si="41"/>
        <v>370</v>
      </c>
      <c r="J349" s="931">
        <f t="shared" si="39"/>
        <v>50115.585044562169</v>
      </c>
      <c r="K349" s="931">
        <f t="shared" si="38"/>
        <v>176945.68221472972</v>
      </c>
      <c r="L349" s="933">
        <f t="shared" si="40"/>
        <v>9846171.3266977035</v>
      </c>
      <c r="M349" s="291"/>
      <c r="N349" s="291"/>
      <c r="O349" s="291"/>
      <c r="P349" s="291"/>
      <c r="Q349" s="291"/>
    </row>
    <row r="350" spans="1:17">
      <c r="A350" s="910"/>
      <c r="B350" s="930">
        <v>337</v>
      </c>
      <c r="C350" s="931">
        <f t="shared" si="36"/>
        <v>8212.2519152680998</v>
      </c>
      <c r="D350" s="931">
        <f t="shared" si="35"/>
        <v>101403.43876360555</v>
      </c>
      <c r="E350" s="931">
        <f t="shared" si="37"/>
        <v>2425443.3043958098</v>
      </c>
      <c r="F350" s="291"/>
      <c r="G350" s="293"/>
      <c r="H350" s="930">
        <v>336</v>
      </c>
      <c r="I350" s="930">
        <f t="shared" si="41"/>
        <v>371</v>
      </c>
      <c r="J350" s="931">
        <f t="shared" si="39"/>
        <v>49230.856633488518</v>
      </c>
      <c r="K350" s="931">
        <f t="shared" si="38"/>
        <v>177830.41062580337</v>
      </c>
      <c r="L350" s="933">
        <f t="shared" si="40"/>
        <v>9668340.9160718992</v>
      </c>
      <c r="M350" s="291"/>
      <c r="N350" s="291"/>
      <c r="O350" s="291"/>
      <c r="P350" s="291"/>
      <c r="Q350" s="291"/>
    </row>
    <row r="351" spans="1:17">
      <c r="A351" s="910"/>
      <c r="B351" s="930">
        <v>338</v>
      </c>
      <c r="C351" s="931">
        <f t="shared" si="36"/>
        <v>7882.6907392863823</v>
      </c>
      <c r="D351" s="931">
        <f t="shared" si="35"/>
        <v>101732.99993958727</v>
      </c>
      <c r="E351" s="931">
        <f t="shared" si="37"/>
        <v>2323710.3044562223</v>
      </c>
      <c r="F351" s="291"/>
      <c r="G351" s="293"/>
      <c r="H351" s="930">
        <v>337</v>
      </c>
      <c r="I351" s="930">
        <f t="shared" si="41"/>
        <v>372</v>
      </c>
      <c r="J351" s="931">
        <f t="shared" si="39"/>
        <v>48341.704580359488</v>
      </c>
      <c r="K351" s="931">
        <f t="shared" si="38"/>
        <v>178719.56267893242</v>
      </c>
      <c r="L351" s="933">
        <f t="shared" si="40"/>
        <v>9489621.3533929661</v>
      </c>
      <c r="M351" s="291"/>
      <c r="N351" s="291"/>
      <c r="O351" s="291"/>
      <c r="P351" s="291"/>
      <c r="Q351" s="291"/>
    </row>
    <row r="352" spans="1:17">
      <c r="A352" s="910"/>
      <c r="B352" s="930">
        <v>339</v>
      </c>
      <c r="C352" s="931">
        <f t="shared" si="36"/>
        <v>7552.0584894827225</v>
      </c>
      <c r="D352" s="931">
        <f t="shared" si="35"/>
        <v>102063.63218939093</v>
      </c>
      <c r="E352" s="931">
        <f t="shared" si="37"/>
        <v>2221646.6722668316</v>
      </c>
      <c r="F352" s="291"/>
      <c r="G352" s="293"/>
      <c r="H352" s="930">
        <v>338</v>
      </c>
      <c r="I352" s="930">
        <f t="shared" si="41"/>
        <v>373</v>
      </c>
      <c r="J352" s="931">
        <f t="shared" si="39"/>
        <v>47448.106766964833</v>
      </c>
      <c r="K352" s="931">
        <f t="shared" si="38"/>
        <v>179613.16049232706</v>
      </c>
      <c r="L352" s="933">
        <f t="shared" si="40"/>
        <v>9310008.192900639</v>
      </c>
      <c r="M352" s="291"/>
      <c r="N352" s="291"/>
      <c r="O352" s="291"/>
      <c r="P352" s="291"/>
      <c r="Q352" s="291"/>
    </row>
    <row r="353" spans="1:17">
      <c r="A353" s="910"/>
      <c r="B353" s="930">
        <v>340</v>
      </c>
      <c r="C353" s="931">
        <f t="shared" si="36"/>
        <v>7220.3516848672034</v>
      </c>
      <c r="D353" s="931">
        <f t="shared" si="35"/>
        <v>102395.33899400645</v>
      </c>
      <c r="E353" s="931">
        <f t="shared" si="37"/>
        <v>2119251.333272825</v>
      </c>
      <c r="F353" s="291"/>
      <c r="G353" s="293"/>
      <c r="H353" s="930">
        <v>339</v>
      </c>
      <c r="I353" s="930">
        <f t="shared" si="41"/>
        <v>374</v>
      </c>
      <c r="J353" s="931">
        <f t="shared" si="39"/>
        <v>46550.04096450319</v>
      </c>
      <c r="K353" s="931">
        <f t="shared" si="38"/>
        <v>180511.22629478871</v>
      </c>
      <c r="L353" s="933">
        <f t="shared" si="40"/>
        <v>9129496.9666058496</v>
      </c>
      <c r="M353" s="291"/>
      <c r="N353" s="291"/>
      <c r="O353" s="291"/>
      <c r="P353" s="291"/>
      <c r="Q353" s="291"/>
    </row>
    <row r="354" spans="1:17">
      <c r="A354" s="910"/>
      <c r="B354" s="930">
        <v>341</v>
      </c>
      <c r="C354" s="931">
        <f t="shared" si="36"/>
        <v>6887.5668331366805</v>
      </c>
      <c r="D354" s="931">
        <f t="shared" si="35"/>
        <v>102728.12384573698</v>
      </c>
      <c r="E354" s="931">
        <f t="shared" si="37"/>
        <v>2016523.209427088</v>
      </c>
      <c r="F354" s="291"/>
      <c r="G354" s="293"/>
      <c r="H354" s="930">
        <v>340</v>
      </c>
      <c r="I354" s="930">
        <f t="shared" si="41"/>
        <v>375</v>
      </c>
      <c r="J354" s="931">
        <f t="shared" si="39"/>
        <v>45647.484833029244</v>
      </c>
      <c r="K354" s="931">
        <f t="shared" si="38"/>
        <v>181413.78242626265</v>
      </c>
      <c r="L354" s="933">
        <f t="shared" si="40"/>
        <v>8948083.1841795873</v>
      </c>
      <c r="M354" s="291"/>
      <c r="N354" s="291"/>
      <c r="O354" s="291"/>
      <c r="P354" s="291"/>
      <c r="Q354" s="291"/>
    </row>
    <row r="355" spans="1:17">
      <c r="A355" s="910"/>
      <c r="B355" s="930">
        <v>342</v>
      </c>
      <c r="C355" s="931">
        <f t="shared" si="36"/>
        <v>6553.7004306380359</v>
      </c>
      <c r="D355" s="931">
        <f t="shared" si="35"/>
        <v>103061.99024823561</v>
      </c>
      <c r="E355" s="931">
        <f t="shared" si="37"/>
        <v>1913461.2191788524</v>
      </c>
      <c r="F355" s="291"/>
      <c r="G355" s="293"/>
      <c r="H355" s="930">
        <v>341</v>
      </c>
      <c r="I355" s="930">
        <f t="shared" si="41"/>
        <v>376</v>
      </c>
      <c r="J355" s="931">
        <f t="shared" si="39"/>
        <v>44740.415920897933</v>
      </c>
      <c r="K355" s="931">
        <f t="shared" si="38"/>
        <v>182320.85133839396</v>
      </c>
      <c r="L355" s="933">
        <f t="shared" si="40"/>
        <v>8765762.3328411933</v>
      </c>
      <c r="M355" s="291"/>
      <c r="N355" s="291"/>
      <c r="O355" s="291"/>
      <c r="P355" s="291"/>
      <c r="Q355" s="291"/>
    </row>
    <row r="356" spans="1:17">
      <c r="A356" s="910"/>
      <c r="B356" s="930">
        <v>343</v>
      </c>
      <c r="C356" s="931">
        <f t="shared" si="36"/>
        <v>6218.7489623312695</v>
      </c>
      <c r="D356" s="931">
        <f t="shared" si="35"/>
        <v>103396.94171654238</v>
      </c>
      <c r="E356" s="931">
        <f t="shared" si="37"/>
        <v>1810064.2774623099</v>
      </c>
      <c r="F356" s="291"/>
      <c r="G356" s="293"/>
      <c r="H356" s="930">
        <v>342</v>
      </c>
      <c r="I356" s="930">
        <f t="shared" si="41"/>
        <v>377</v>
      </c>
      <c r="J356" s="931">
        <f t="shared" si="39"/>
        <v>43828.811664205969</v>
      </c>
      <c r="K356" s="931">
        <f t="shared" si="38"/>
        <v>183232.45559508592</v>
      </c>
      <c r="L356" s="933">
        <f t="shared" si="40"/>
        <v>8582529.8772461079</v>
      </c>
      <c r="M356" s="291"/>
      <c r="N356" s="291"/>
      <c r="O356" s="291"/>
      <c r="P356" s="291"/>
      <c r="Q356" s="291"/>
    </row>
    <row r="357" spans="1:17">
      <c r="A357" s="910"/>
      <c r="B357" s="930">
        <v>344</v>
      </c>
      <c r="C357" s="931">
        <f t="shared" si="36"/>
        <v>5882.7089017525068</v>
      </c>
      <c r="D357" s="931">
        <f t="shared" si="35"/>
        <v>103732.98177712114</v>
      </c>
      <c r="E357" s="931">
        <f t="shared" si="37"/>
        <v>1706331.2956851888</v>
      </c>
      <c r="F357" s="291"/>
      <c r="G357" s="293"/>
      <c r="H357" s="930">
        <v>343</v>
      </c>
      <c r="I357" s="930">
        <f t="shared" si="41"/>
        <v>378</v>
      </c>
      <c r="J357" s="931">
        <f t="shared" si="39"/>
        <v>42912.649386230536</v>
      </c>
      <c r="K357" s="931">
        <f t="shared" si="38"/>
        <v>184148.61787306136</v>
      </c>
      <c r="L357" s="933">
        <f t="shared" si="40"/>
        <v>8398381.2593730465</v>
      </c>
      <c r="M357" s="291"/>
      <c r="N357" s="291"/>
      <c r="O357" s="291"/>
      <c r="P357" s="291"/>
      <c r="Q357" s="291"/>
    </row>
    <row r="358" spans="1:17">
      <c r="A358" s="910"/>
      <c r="B358" s="930">
        <v>345</v>
      </c>
      <c r="C358" s="931">
        <f t="shared" si="36"/>
        <v>5545.576710976864</v>
      </c>
      <c r="D358" s="931">
        <f t="shared" si="35"/>
        <v>104070.11396789679</v>
      </c>
      <c r="E358" s="931">
        <f t="shared" si="37"/>
        <v>1602261.1817172919</v>
      </c>
      <c r="F358" s="291"/>
      <c r="G358" s="293"/>
      <c r="H358" s="930">
        <v>344</v>
      </c>
      <c r="I358" s="930">
        <f t="shared" si="41"/>
        <v>379</v>
      </c>
      <c r="J358" s="931">
        <f t="shared" si="39"/>
        <v>41991.906296865229</v>
      </c>
      <c r="K358" s="931">
        <f t="shared" si="38"/>
        <v>185069.36096242667</v>
      </c>
      <c r="L358" s="933">
        <f t="shared" si="40"/>
        <v>8213311.8984106202</v>
      </c>
      <c r="M358" s="291"/>
      <c r="N358" s="291"/>
      <c r="O358" s="291"/>
      <c r="P358" s="291"/>
      <c r="Q358" s="291"/>
    </row>
    <row r="359" spans="1:17">
      <c r="A359" s="910"/>
      <c r="B359" s="930">
        <v>346</v>
      </c>
      <c r="C359" s="931">
        <f t="shared" si="36"/>
        <v>5207.3488405811986</v>
      </c>
      <c r="D359" s="931">
        <f t="shared" si="35"/>
        <v>104408.34183829246</v>
      </c>
      <c r="E359" s="931">
        <f t="shared" si="37"/>
        <v>1497852.8398789994</v>
      </c>
      <c r="F359" s="291"/>
      <c r="G359" s="293"/>
      <c r="H359" s="930">
        <v>345</v>
      </c>
      <c r="I359" s="930">
        <f t="shared" si="41"/>
        <v>380</v>
      </c>
      <c r="J359" s="931">
        <f t="shared" si="39"/>
        <v>41066.5594920531</v>
      </c>
      <c r="K359" s="931">
        <f t="shared" si="38"/>
        <v>185994.70776723878</v>
      </c>
      <c r="L359" s="933">
        <f t="shared" si="40"/>
        <v>8027317.1906433813</v>
      </c>
      <c r="M359" s="291"/>
      <c r="N359" s="291"/>
      <c r="O359" s="291"/>
      <c r="P359" s="291"/>
      <c r="Q359" s="291"/>
    </row>
    <row r="360" spans="1:17">
      <c r="A360" s="910"/>
      <c r="B360" s="930">
        <v>347</v>
      </c>
      <c r="C360" s="931">
        <f t="shared" si="36"/>
        <v>4868.0217296067485</v>
      </c>
      <c r="D360" s="931">
        <f t="shared" si="35"/>
        <v>104747.66894926691</v>
      </c>
      <c r="E360" s="931">
        <f t="shared" si="37"/>
        <v>1393105.1709297325</v>
      </c>
      <c r="F360" s="291"/>
      <c r="G360" s="293"/>
      <c r="H360" s="930">
        <v>346</v>
      </c>
      <c r="I360" s="930">
        <f t="shared" si="41"/>
        <v>381</v>
      </c>
      <c r="J360" s="931">
        <f t="shared" si="39"/>
        <v>40136.585953216905</v>
      </c>
      <c r="K360" s="931">
        <f t="shared" si="38"/>
        <v>186924.68130607498</v>
      </c>
      <c r="L360" s="933">
        <f t="shared" si="40"/>
        <v>7840392.509337306</v>
      </c>
      <c r="M360" s="291"/>
      <c r="N360" s="291"/>
      <c r="O360" s="291"/>
      <c r="P360" s="291"/>
      <c r="Q360" s="291"/>
    </row>
    <row r="361" spans="1:17">
      <c r="A361" s="929">
        <v>30</v>
      </c>
      <c r="B361" s="930">
        <v>348</v>
      </c>
      <c r="C361" s="931">
        <f t="shared" si="36"/>
        <v>4527.5918055216307</v>
      </c>
      <c r="D361" s="931">
        <f t="shared" si="35"/>
        <v>105088.09887335202</v>
      </c>
      <c r="E361" s="931">
        <f t="shared" si="37"/>
        <v>1288017.0720563806</v>
      </c>
      <c r="F361" s="291"/>
      <c r="G361" s="293"/>
      <c r="H361" s="930">
        <v>347</v>
      </c>
      <c r="I361" s="930">
        <f t="shared" si="41"/>
        <v>382</v>
      </c>
      <c r="J361" s="931">
        <f t="shared" si="39"/>
        <v>39201.962546686533</v>
      </c>
      <c r="K361" s="931">
        <f t="shared" si="38"/>
        <v>187859.30471260537</v>
      </c>
      <c r="L361" s="933">
        <f t="shared" si="40"/>
        <v>7652533.2046247004</v>
      </c>
      <c r="M361" s="291"/>
      <c r="N361" s="291"/>
      <c r="O361" s="291"/>
      <c r="P361" s="291"/>
      <c r="Q361" s="291"/>
    </row>
    <row r="362" spans="1:17">
      <c r="A362" s="910"/>
      <c r="B362" s="930">
        <v>349</v>
      </c>
      <c r="C362" s="931">
        <f t="shared" si="36"/>
        <v>4186.0554841832372</v>
      </c>
      <c r="D362" s="931">
        <f t="shared" si="35"/>
        <v>105429.63519469042</v>
      </c>
      <c r="E362" s="931">
        <f t="shared" si="37"/>
        <v>1182587.4368616901</v>
      </c>
      <c r="F362" s="291"/>
      <c r="G362" s="293"/>
      <c r="H362" s="930">
        <v>348</v>
      </c>
      <c r="I362" s="930">
        <f t="shared" si="41"/>
        <v>383</v>
      </c>
      <c r="J362" s="931">
        <f t="shared" si="39"/>
        <v>38262.6660231235</v>
      </c>
      <c r="K362" s="931">
        <f t="shared" si="38"/>
        <v>188798.60123616841</v>
      </c>
      <c r="L362" s="933">
        <f t="shared" si="40"/>
        <v>7463734.6033885321</v>
      </c>
      <c r="M362" s="291"/>
      <c r="N362" s="291"/>
      <c r="O362" s="291"/>
      <c r="P362" s="291"/>
      <c r="Q362" s="291"/>
    </row>
    <row r="363" spans="1:17">
      <c r="A363" s="910"/>
      <c r="B363" s="930">
        <v>350</v>
      </c>
      <c r="C363" s="931">
        <f t="shared" si="36"/>
        <v>3843.4091698004927</v>
      </c>
      <c r="D363" s="931">
        <f t="shared" si="35"/>
        <v>105772.28150907316</v>
      </c>
      <c r="E363" s="931">
        <f t="shared" si="37"/>
        <v>1076815.1553526169</v>
      </c>
      <c r="F363" s="291"/>
      <c r="G363" s="293"/>
      <c r="H363" s="930">
        <v>349</v>
      </c>
      <c r="I363" s="930">
        <f t="shared" si="41"/>
        <v>384</v>
      </c>
      <c r="J363" s="931">
        <f t="shared" si="39"/>
        <v>37318.673016942659</v>
      </c>
      <c r="K363" s="931">
        <f t="shared" si="38"/>
        <v>189742.59424234924</v>
      </c>
      <c r="L363" s="933">
        <f t="shared" si="40"/>
        <v>7273992.0091461828</v>
      </c>
      <c r="M363" s="291"/>
      <c r="N363" s="291"/>
      <c r="O363" s="291"/>
      <c r="P363" s="291"/>
      <c r="Q363" s="291"/>
    </row>
    <row r="364" spans="1:17">
      <c r="A364" s="910"/>
      <c r="B364" s="930">
        <v>351</v>
      </c>
      <c r="C364" s="931">
        <f t="shared" si="36"/>
        <v>3499.649254896005</v>
      </c>
      <c r="D364" s="931">
        <f t="shared" si="35"/>
        <v>106116.04142397764</v>
      </c>
      <c r="E364" s="931">
        <f t="shared" si="37"/>
        <v>970699.11392863933</v>
      </c>
      <c r="F364" s="291"/>
      <c r="G364" s="293"/>
      <c r="H364" s="930">
        <v>350</v>
      </c>
      <c r="I364" s="930">
        <f t="shared" si="41"/>
        <v>385</v>
      </c>
      <c r="J364" s="931">
        <f t="shared" si="39"/>
        <v>36369.960045730913</v>
      </c>
      <c r="K364" s="931">
        <f t="shared" si="38"/>
        <v>190691.30721356097</v>
      </c>
      <c r="L364" s="933">
        <f t="shared" si="40"/>
        <v>7083300.7019326221</v>
      </c>
      <c r="M364" s="291"/>
      <c r="N364" s="291"/>
      <c r="O364" s="291"/>
      <c r="P364" s="291"/>
      <c r="Q364" s="291"/>
    </row>
    <row r="365" spans="1:17">
      <c r="A365" s="910"/>
      <c r="B365" s="930">
        <v>352</v>
      </c>
      <c r="C365" s="931">
        <f t="shared" si="36"/>
        <v>3154.7721202680782</v>
      </c>
      <c r="D365" s="931">
        <f t="shared" si="35"/>
        <v>106460.91855860557</v>
      </c>
      <c r="E365" s="931">
        <f t="shared" si="37"/>
        <v>864238.19537003373</v>
      </c>
      <c r="F365" s="291"/>
      <c r="G365" s="293"/>
      <c r="H365" s="930">
        <v>351</v>
      </c>
      <c r="I365" s="930">
        <f t="shared" si="41"/>
        <v>386</v>
      </c>
      <c r="J365" s="931">
        <f t="shared" si="39"/>
        <v>35416.503509663111</v>
      </c>
      <c r="K365" s="931">
        <f t="shared" si="38"/>
        <v>191644.76374962879</v>
      </c>
      <c r="L365" s="933">
        <f t="shared" si="40"/>
        <v>6891655.9381829929</v>
      </c>
      <c r="M365" s="291"/>
      <c r="N365" s="291"/>
      <c r="O365" s="291"/>
      <c r="P365" s="291"/>
      <c r="Q365" s="291"/>
    </row>
    <row r="366" spans="1:17">
      <c r="A366" s="910"/>
      <c r="B366" s="930">
        <v>353</v>
      </c>
      <c r="C366" s="931">
        <f t="shared" si="36"/>
        <v>2808.7741349526095</v>
      </c>
      <c r="D366" s="931">
        <f t="shared" si="35"/>
        <v>106806.91654392105</v>
      </c>
      <c r="E366" s="931">
        <f t="shared" si="37"/>
        <v>757431.27882611263</v>
      </c>
      <c r="F366" s="291"/>
      <c r="G366" s="293"/>
      <c r="H366" s="930">
        <v>352</v>
      </c>
      <c r="I366" s="930">
        <f t="shared" si="41"/>
        <v>387</v>
      </c>
      <c r="J366" s="931">
        <f t="shared" si="39"/>
        <v>34458.279690914962</v>
      </c>
      <c r="K366" s="931">
        <f t="shared" si="38"/>
        <v>192602.98756837694</v>
      </c>
      <c r="L366" s="933">
        <f t="shared" si="40"/>
        <v>6699052.9506146163</v>
      </c>
      <c r="M366" s="291"/>
      <c r="N366" s="291"/>
      <c r="O366" s="291"/>
      <c r="P366" s="291"/>
      <c r="Q366" s="291"/>
    </row>
    <row r="367" spans="1:17">
      <c r="A367" s="910"/>
      <c r="B367" s="930">
        <v>354</v>
      </c>
      <c r="C367" s="931">
        <f t="shared" si="36"/>
        <v>2461.6516561848662</v>
      </c>
      <c r="D367" s="931">
        <f t="shared" si="35"/>
        <v>107154.03902268878</v>
      </c>
      <c r="E367" s="931">
        <f t="shared" si="37"/>
        <v>650277.23980342387</v>
      </c>
      <c r="F367" s="291"/>
      <c r="G367" s="293"/>
      <c r="H367" s="930">
        <v>353</v>
      </c>
      <c r="I367" s="930">
        <f t="shared" si="41"/>
        <v>388</v>
      </c>
      <c r="J367" s="931">
        <f t="shared" si="39"/>
        <v>33495.264753073083</v>
      </c>
      <c r="K367" s="931">
        <f t="shared" si="38"/>
        <v>193566.00250621882</v>
      </c>
      <c r="L367" s="933">
        <f t="shared" si="40"/>
        <v>6505486.9481083974</v>
      </c>
      <c r="M367" s="291"/>
      <c r="N367" s="291"/>
      <c r="O367" s="291"/>
      <c r="P367" s="291"/>
      <c r="Q367" s="291"/>
    </row>
    <row r="368" spans="1:17">
      <c r="A368" s="910"/>
      <c r="B368" s="930">
        <v>355</v>
      </c>
      <c r="C368" s="931">
        <f t="shared" si="36"/>
        <v>2113.4010293611277</v>
      </c>
      <c r="D368" s="931">
        <f t="shared" si="35"/>
        <v>107502.28964951253</v>
      </c>
      <c r="E368" s="931">
        <f t="shared" si="37"/>
        <v>542774.95015391137</v>
      </c>
      <c r="F368" s="291"/>
      <c r="G368" s="293"/>
      <c r="H368" s="930">
        <v>354</v>
      </c>
      <c r="I368" s="930">
        <f t="shared" si="41"/>
        <v>389</v>
      </c>
      <c r="J368" s="931">
        <f t="shared" si="39"/>
        <v>32527.434740541987</v>
      </c>
      <c r="K368" s="931">
        <f t="shared" si="38"/>
        <v>194533.8325187499</v>
      </c>
      <c r="L368" s="933">
        <f t="shared" si="40"/>
        <v>6310953.1155896476</v>
      </c>
      <c r="M368" s="291"/>
      <c r="N368" s="291"/>
      <c r="O368" s="291"/>
      <c r="P368" s="291"/>
      <c r="Q368" s="291"/>
    </row>
    <row r="369" spans="1:17">
      <c r="A369" s="910"/>
      <c r="B369" s="930">
        <v>356</v>
      </c>
      <c r="C369" s="931">
        <f t="shared" si="36"/>
        <v>1764.0185880002118</v>
      </c>
      <c r="D369" s="931">
        <f t="shared" si="35"/>
        <v>107851.67209087344</v>
      </c>
      <c r="E369" s="931">
        <f t="shared" si="37"/>
        <v>434923.2780630379</v>
      </c>
      <c r="F369" s="291"/>
      <c r="G369" s="293"/>
      <c r="H369" s="930">
        <v>355</v>
      </c>
      <c r="I369" s="930">
        <f t="shared" si="41"/>
        <v>390</v>
      </c>
      <c r="J369" s="931">
        <f t="shared" si="39"/>
        <v>31554.765577948234</v>
      </c>
      <c r="K369" s="931">
        <f t="shared" si="38"/>
        <v>195506.50168134365</v>
      </c>
      <c r="L369" s="933">
        <f t="shared" si="40"/>
        <v>6115446.6139083039</v>
      </c>
      <c r="M369" s="291"/>
      <c r="N369" s="291"/>
      <c r="O369" s="291"/>
      <c r="P369" s="291"/>
      <c r="Q369" s="291"/>
    </row>
    <row r="370" spans="1:17">
      <c r="A370" s="910"/>
      <c r="B370" s="930">
        <v>357</v>
      </c>
      <c r="C370" s="931">
        <f t="shared" si="36"/>
        <v>1413.5006537048732</v>
      </c>
      <c r="D370" s="931">
        <f t="shared" si="35"/>
        <v>108202.19002516878</v>
      </c>
      <c r="E370" s="931">
        <f t="shared" si="37"/>
        <v>326721.08803786914</v>
      </c>
      <c r="F370" s="291"/>
      <c r="G370" s="293"/>
      <c r="H370" s="930">
        <v>356</v>
      </c>
      <c r="I370" s="930">
        <f t="shared" si="41"/>
        <v>391</v>
      </c>
      <c r="J370" s="931">
        <f t="shared" si="39"/>
        <v>30577.233069541518</v>
      </c>
      <c r="K370" s="931">
        <f t="shared" si="38"/>
        <v>196484.03418975038</v>
      </c>
      <c r="L370" s="933">
        <f t="shared" si="40"/>
        <v>5918962.5797185535</v>
      </c>
      <c r="M370" s="291"/>
      <c r="N370" s="291"/>
      <c r="O370" s="291"/>
      <c r="P370" s="291"/>
      <c r="Q370" s="291"/>
    </row>
    <row r="371" spans="1:17">
      <c r="A371" s="910"/>
      <c r="B371" s="930">
        <v>358</v>
      </c>
      <c r="C371" s="931">
        <f t="shared" si="36"/>
        <v>1061.8435361230747</v>
      </c>
      <c r="D371" s="931">
        <f t="shared" si="35"/>
        <v>108553.84714275057</v>
      </c>
      <c r="E371" s="931">
        <f t="shared" si="37"/>
        <v>218167.24089511856</v>
      </c>
      <c r="F371" s="291"/>
      <c r="G371" s="293"/>
      <c r="H371" s="930">
        <v>357</v>
      </c>
      <c r="I371" s="930">
        <f t="shared" si="41"/>
        <v>392</v>
      </c>
      <c r="J371" s="931">
        <f t="shared" si="39"/>
        <v>29594.812898592765</v>
      </c>
      <c r="K371" s="931">
        <f t="shared" si="38"/>
        <v>197466.45436069914</v>
      </c>
      <c r="L371" s="933">
        <f t="shared" si="40"/>
        <v>5721496.1253578542</v>
      </c>
      <c r="M371" s="291"/>
      <c r="N371" s="291"/>
      <c r="O371" s="291"/>
      <c r="P371" s="291"/>
      <c r="Q371" s="291"/>
    </row>
    <row r="372" spans="1:17">
      <c r="A372" s="910"/>
      <c r="B372" s="930">
        <v>359</v>
      </c>
      <c r="C372" s="931">
        <f t="shared" si="36"/>
        <v>709.04353290913525</v>
      </c>
      <c r="D372" s="931">
        <f t="shared" si="35"/>
        <v>108906.64714596451</v>
      </c>
      <c r="E372" s="931">
        <f t="shared" si="37"/>
        <v>109260.59374915405</v>
      </c>
      <c r="F372" s="291"/>
      <c r="G372" s="293"/>
      <c r="H372" s="930">
        <v>358</v>
      </c>
      <c r="I372" s="930">
        <f t="shared" si="41"/>
        <v>393</v>
      </c>
      <c r="J372" s="931">
        <f t="shared" si="39"/>
        <v>28607.480626789271</v>
      </c>
      <c r="K372" s="931">
        <f t="shared" si="38"/>
        <v>198453.78663250263</v>
      </c>
      <c r="L372" s="933">
        <f t="shared" si="40"/>
        <v>5523042.3387253517</v>
      </c>
      <c r="M372" s="291"/>
      <c r="N372" s="291"/>
      <c r="O372" s="291"/>
      <c r="P372" s="291"/>
      <c r="Q372" s="291"/>
    </row>
    <row r="373" spans="1:17">
      <c r="A373" s="910"/>
      <c r="B373" s="930">
        <v>360</v>
      </c>
      <c r="C373" s="931">
        <f t="shared" si="36"/>
        <v>355.09692968475065</v>
      </c>
      <c r="D373" s="931">
        <f t="shared" si="35"/>
        <v>109260.59374918891</v>
      </c>
      <c r="E373" s="931">
        <f t="shared" si="37"/>
        <v>-3.485183697193861E-8</v>
      </c>
      <c r="F373" s="291"/>
      <c r="G373" s="293"/>
      <c r="H373" s="930">
        <v>359</v>
      </c>
      <c r="I373" s="930">
        <f t="shared" si="41"/>
        <v>394</v>
      </c>
      <c r="J373" s="931">
        <f t="shared" si="39"/>
        <v>27615.211693626756</v>
      </c>
      <c r="K373" s="931">
        <f t="shared" si="38"/>
        <v>199446.05556566513</v>
      </c>
      <c r="L373" s="933">
        <f t="shared" si="40"/>
        <v>5323596.2831596863</v>
      </c>
      <c r="M373" s="291"/>
      <c r="N373" s="291"/>
      <c r="O373" s="291"/>
      <c r="P373" s="291"/>
      <c r="Q373" s="291"/>
    </row>
    <row r="374" spans="1:17" ht="16.5" thickBot="1">
      <c r="A374" s="936"/>
      <c r="B374" s="937"/>
      <c r="C374" s="937"/>
      <c r="D374" s="937"/>
      <c r="E374" s="937"/>
      <c r="F374" s="937"/>
      <c r="G374" s="938"/>
      <c r="H374" s="939">
        <v>360</v>
      </c>
      <c r="I374" s="939">
        <f t="shared" si="41"/>
        <v>395</v>
      </c>
      <c r="J374" s="940">
        <f t="shared" si="39"/>
        <v>26617.981415798433</v>
      </c>
      <c r="K374" s="940">
        <f t="shared" si="38"/>
        <v>200443.28584349348</v>
      </c>
      <c r="L374" s="941">
        <f t="shared" si="40"/>
        <v>5123152.9973161928</v>
      </c>
      <c r="M374" s="291"/>
      <c r="N374" s="291"/>
      <c r="O374" s="291"/>
      <c r="P374" s="291"/>
    </row>
    <row r="375" spans="1:17" ht="15">
      <c r="A375" s="291"/>
      <c r="B375" s="291"/>
      <c r="C375" s="291"/>
      <c r="D375" s="291"/>
      <c r="E375" s="291"/>
      <c r="F375" s="291"/>
      <c r="G375" s="293"/>
      <c r="H375" s="291"/>
      <c r="I375" s="291"/>
      <c r="J375" s="291"/>
      <c r="K375" s="291"/>
      <c r="L375" s="291"/>
      <c r="M375" s="291"/>
      <c r="N375" s="291"/>
      <c r="O375" s="291"/>
      <c r="P375" s="291"/>
    </row>
    <row r="376" spans="1:17" ht="15">
      <c r="A376" s="291"/>
      <c r="B376" s="291"/>
      <c r="C376" s="291"/>
      <c r="D376" s="291"/>
      <c r="E376" s="291"/>
      <c r="F376" s="291"/>
      <c r="G376" s="293"/>
      <c r="H376" s="291"/>
      <c r="I376" s="291"/>
      <c r="J376" s="291"/>
      <c r="K376" s="291"/>
      <c r="L376" s="291"/>
      <c r="M376" s="291"/>
      <c r="N376" s="291"/>
      <c r="O376" s="291"/>
      <c r="P376" s="291"/>
    </row>
    <row r="377" spans="1:17" ht="15">
      <c r="A377" s="291"/>
      <c r="B377" s="291"/>
      <c r="C377" s="291"/>
      <c r="D377" s="291"/>
      <c r="E377" s="291"/>
      <c r="F377" s="291"/>
      <c r="G377" s="293"/>
      <c r="H377" s="291"/>
      <c r="I377" s="291"/>
      <c r="J377" s="291"/>
      <c r="K377" s="291"/>
      <c r="L377" s="291"/>
      <c r="M377" s="291"/>
      <c r="N377" s="291"/>
      <c r="O377" s="291"/>
      <c r="P377" s="291"/>
    </row>
    <row r="378" spans="1:17" ht="15">
      <c r="A378" s="291"/>
      <c r="B378" s="291"/>
      <c r="C378" s="291"/>
      <c r="D378" s="291"/>
      <c r="E378" s="291"/>
      <c r="F378" s="291"/>
      <c r="G378" s="293"/>
      <c r="H378" s="291"/>
      <c r="I378" s="291"/>
      <c r="J378" s="291"/>
      <c r="K378" s="291"/>
      <c r="L378" s="291"/>
      <c r="M378" s="291"/>
      <c r="N378" s="291"/>
      <c r="O378" s="291"/>
      <c r="P378" s="291"/>
    </row>
    <row r="379" spans="1:17" ht="15">
      <c r="A379" s="291"/>
      <c r="B379" s="291"/>
      <c r="C379" s="291"/>
      <c r="D379" s="291"/>
      <c r="E379" s="291"/>
      <c r="F379" s="291"/>
      <c r="G379" s="293"/>
      <c r="H379" s="291"/>
      <c r="I379" s="291"/>
      <c r="J379" s="291"/>
      <c r="K379" s="291"/>
      <c r="L379" s="291"/>
      <c r="M379" s="291"/>
      <c r="N379" s="291"/>
      <c r="O379" s="291"/>
      <c r="P379" s="291"/>
    </row>
    <row r="380" spans="1:17" ht="15">
      <c r="A380" s="291"/>
      <c r="B380" s="291"/>
      <c r="C380" s="291"/>
      <c r="D380" s="291"/>
      <c r="E380" s="291"/>
      <c r="F380" s="291"/>
      <c r="G380" s="293"/>
      <c r="H380" s="291"/>
      <c r="I380" s="291"/>
      <c r="J380" s="291"/>
      <c r="K380" s="291"/>
      <c r="L380" s="291"/>
      <c r="M380" s="291"/>
      <c r="N380" s="291"/>
      <c r="O380" s="291"/>
      <c r="P380" s="291"/>
    </row>
    <row r="381" spans="1:17" ht="15">
      <c r="A381" s="291"/>
      <c r="B381" s="291"/>
      <c r="C381" s="291"/>
      <c r="D381" s="291"/>
      <c r="E381" s="291"/>
      <c r="F381" s="291"/>
      <c r="G381" s="293"/>
      <c r="H381" s="291"/>
      <c r="I381" s="291"/>
      <c r="J381" s="291"/>
      <c r="K381" s="291"/>
      <c r="L381" s="291"/>
      <c r="M381" s="291"/>
      <c r="N381" s="291"/>
      <c r="O381" s="291"/>
      <c r="P381" s="291"/>
    </row>
    <row r="382" spans="1:17" ht="15">
      <c r="A382" s="291"/>
      <c r="B382" s="291"/>
      <c r="C382" s="291"/>
      <c r="D382" s="291"/>
      <c r="E382" s="291"/>
      <c r="F382" s="291"/>
      <c r="G382" s="293"/>
      <c r="H382" s="291"/>
      <c r="I382" s="291"/>
      <c r="J382" s="291"/>
      <c r="K382" s="291"/>
      <c r="L382" s="291"/>
      <c r="M382" s="291"/>
      <c r="N382" s="291"/>
      <c r="O382" s="291"/>
      <c r="P382" s="291"/>
    </row>
    <row r="383" spans="1:17" ht="15">
      <c r="A383" s="291"/>
      <c r="B383" s="291"/>
      <c r="C383" s="291"/>
      <c r="D383" s="291"/>
      <c r="E383" s="291"/>
      <c r="F383" s="291"/>
      <c r="G383" s="293"/>
      <c r="H383" s="291"/>
      <c r="I383" s="291"/>
      <c r="J383" s="291"/>
      <c r="K383" s="291"/>
      <c r="L383" s="291"/>
      <c r="M383" s="291"/>
      <c r="N383" s="291"/>
      <c r="O383" s="291"/>
      <c r="P383" s="291"/>
    </row>
    <row r="384" spans="1:17" ht="15">
      <c r="A384" s="291"/>
      <c r="B384" s="291"/>
      <c r="C384" s="291"/>
      <c r="D384" s="291"/>
      <c r="E384" s="291"/>
      <c r="F384" s="291"/>
      <c r="G384" s="293"/>
      <c r="H384" s="291"/>
      <c r="I384" s="291"/>
      <c r="J384" s="291"/>
      <c r="K384" s="291"/>
      <c r="L384" s="291"/>
      <c r="M384" s="291"/>
      <c r="N384" s="291"/>
      <c r="O384" s="291"/>
      <c r="P384" s="291"/>
    </row>
    <row r="385" spans="1:16" ht="15">
      <c r="A385" s="291"/>
      <c r="B385" s="291"/>
      <c r="C385" s="291"/>
      <c r="D385" s="291"/>
      <c r="E385" s="291"/>
      <c r="F385" s="291"/>
      <c r="G385" s="293"/>
      <c r="H385" s="291"/>
      <c r="I385" s="291"/>
      <c r="J385" s="291"/>
      <c r="K385" s="291"/>
      <c r="L385" s="291"/>
      <c r="M385" s="291"/>
      <c r="N385" s="291"/>
      <c r="O385" s="291"/>
      <c r="P385" s="291"/>
    </row>
    <row r="386" spans="1:16" ht="15">
      <c r="A386" s="291"/>
      <c r="B386" s="291"/>
      <c r="C386" s="291"/>
      <c r="D386" s="291"/>
      <c r="E386" s="291"/>
      <c r="F386" s="291"/>
      <c r="G386" s="293"/>
      <c r="H386" s="291"/>
      <c r="I386" s="291"/>
      <c r="J386" s="291"/>
      <c r="K386" s="291"/>
      <c r="L386" s="291"/>
      <c r="M386" s="291"/>
      <c r="N386" s="291"/>
      <c r="O386" s="291"/>
      <c r="P386" s="291"/>
    </row>
    <row r="387" spans="1:16" ht="15">
      <c r="A387" s="291"/>
      <c r="B387" s="291"/>
      <c r="C387" s="291"/>
      <c r="D387" s="291"/>
      <c r="E387" s="291"/>
      <c r="F387" s="291"/>
      <c r="G387" s="293"/>
      <c r="H387" s="291"/>
      <c r="I387" s="291"/>
      <c r="J387" s="291"/>
      <c r="K387" s="291"/>
      <c r="L387" s="291"/>
      <c r="M387" s="291"/>
      <c r="N387" s="291"/>
      <c r="O387" s="291"/>
      <c r="P387" s="291"/>
    </row>
    <row r="388" spans="1:16" ht="15">
      <c r="A388" s="291"/>
      <c r="B388" s="291"/>
      <c r="C388" s="291"/>
      <c r="D388" s="291"/>
      <c r="E388" s="291"/>
      <c r="F388" s="291"/>
      <c r="G388" s="293"/>
      <c r="H388" s="291"/>
      <c r="I388" s="291"/>
      <c r="J388" s="291"/>
      <c r="K388" s="291"/>
      <c r="L388" s="291"/>
      <c r="M388" s="291"/>
      <c r="N388" s="291"/>
      <c r="O388" s="291"/>
      <c r="P388" s="291"/>
    </row>
    <row r="389" spans="1:16" ht="15">
      <c r="A389" s="291"/>
      <c r="B389" s="291"/>
      <c r="C389" s="291"/>
      <c r="D389" s="291"/>
      <c r="E389" s="291"/>
      <c r="F389" s="291"/>
      <c r="G389" s="293"/>
      <c r="H389" s="291"/>
      <c r="I389" s="291"/>
      <c r="J389" s="291"/>
      <c r="K389" s="291"/>
      <c r="L389" s="291"/>
      <c r="M389" s="291"/>
      <c r="N389" s="291"/>
      <c r="O389" s="291"/>
      <c r="P389" s="291"/>
    </row>
    <row r="390" spans="1:16" ht="15">
      <c r="A390" s="291"/>
      <c r="B390" s="291"/>
      <c r="C390" s="291"/>
      <c r="D390" s="291"/>
      <c r="E390" s="291"/>
      <c r="F390" s="291"/>
      <c r="G390" s="293"/>
      <c r="H390" s="291"/>
      <c r="I390" s="291"/>
      <c r="J390" s="291"/>
      <c r="K390" s="291"/>
      <c r="L390" s="291"/>
      <c r="M390" s="291"/>
      <c r="N390" s="291"/>
      <c r="O390" s="291"/>
      <c r="P390" s="291"/>
    </row>
    <row r="391" spans="1:16" ht="15">
      <c r="A391" s="291"/>
      <c r="B391" s="291"/>
      <c r="C391" s="291"/>
      <c r="D391" s="291"/>
      <c r="E391" s="291"/>
      <c r="F391" s="291"/>
      <c r="G391" s="293"/>
      <c r="H391" s="291"/>
      <c r="I391" s="291"/>
      <c r="J391" s="291"/>
      <c r="K391" s="291"/>
      <c r="L391" s="291"/>
      <c r="M391" s="291"/>
      <c r="N391" s="291"/>
      <c r="O391" s="291"/>
      <c r="P391" s="291"/>
    </row>
    <row r="392" spans="1:16" ht="15">
      <c r="A392" s="291"/>
      <c r="B392" s="291"/>
      <c r="C392" s="291"/>
      <c r="D392" s="291"/>
      <c r="E392" s="291"/>
      <c r="F392" s="291"/>
      <c r="G392" s="293"/>
      <c r="H392" s="291"/>
      <c r="I392" s="291"/>
      <c r="J392" s="291"/>
      <c r="K392" s="291"/>
      <c r="L392" s="291"/>
      <c r="M392" s="291"/>
      <c r="N392" s="291"/>
      <c r="O392" s="291"/>
      <c r="P392" s="291"/>
    </row>
    <row r="393" spans="1:16" ht="15">
      <c r="A393" s="291"/>
      <c r="B393" s="291"/>
      <c r="C393" s="291"/>
      <c r="D393" s="291"/>
      <c r="E393" s="291"/>
      <c r="F393" s="291"/>
      <c r="G393" s="293"/>
      <c r="H393" s="291"/>
      <c r="I393" s="291"/>
      <c r="J393" s="291"/>
      <c r="K393" s="291"/>
      <c r="L393" s="291"/>
      <c r="M393" s="291"/>
      <c r="N393" s="291"/>
      <c r="O393" s="291"/>
      <c r="P393" s="291"/>
    </row>
    <row r="394" spans="1:16" ht="15">
      <c r="A394" s="291"/>
      <c r="B394" s="291"/>
      <c r="C394" s="291"/>
      <c r="D394" s="291"/>
      <c r="E394" s="291"/>
      <c r="F394" s="291"/>
      <c r="G394" s="293"/>
      <c r="H394" s="291"/>
      <c r="I394" s="291"/>
      <c r="J394" s="291"/>
      <c r="K394" s="291"/>
      <c r="L394" s="291"/>
      <c r="M394" s="291"/>
      <c r="N394" s="291"/>
      <c r="O394" s="291"/>
      <c r="P394" s="291"/>
    </row>
    <row r="395" spans="1:16" ht="15">
      <c r="A395" s="291"/>
      <c r="B395" s="291"/>
      <c r="C395" s="291"/>
      <c r="D395" s="291"/>
      <c r="E395" s="291"/>
      <c r="F395" s="291"/>
      <c r="G395" s="293"/>
      <c r="H395" s="291"/>
      <c r="I395" s="291"/>
      <c r="J395" s="291"/>
      <c r="K395" s="291"/>
      <c r="L395" s="291"/>
      <c r="M395" s="291"/>
      <c r="N395" s="291"/>
      <c r="O395" s="291"/>
      <c r="P395" s="291"/>
    </row>
    <row r="396" spans="1:16" ht="15">
      <c r="A396" s="291"/>
      <c r="B396" s="291"/>
      <c r="C396" s="291"/>
      <c r="D396" s="291"/>
      <c r="E396" s="291"/>
      <c r="F396" s="291"/>
      <c r="G396" s="293"/>
      <c r="H396" s="291"/>
      <c r="I396" s="291"/>
      <c r="J396" s="291"/>
      <c r="K396" s="291"/>
      <c r="L396" s="291"/>
      <c r="M396" s="291"/>
      <c r="N396" s="291"/>
      <c r="O396" s="291"/>
      <c r="P396" s="291"/>
    </row>
    <row r="397" spans="1:16" ht="15">
      <c r="A397" s="291"/>
      <c r="B397" s="291"/>
      <c r="C397" s="291"/>
      <c r="D397" s="291"/>
      <c r="E397" s="291"/>
      <c r="F397" s="291"/>
      <c r="G397" s="293"/>
      <c r="H397" s="291"/>
      <c r="I397" s="291"/>
      <c r="J397" s="291"/>
      <c r="K397" s="291"/>
      <c r="L397" s="291"/>
      <c r="M397" s="291"/>
      <c r="N397" s="291"/>
      <c r="O397" s="291"/>
      <c r="P397" s="291"/>
    </row>
    <row r="398" spans="1:16" ht="15">
      <c r="A398" s="291"/>
      <c r="B398" s="291"/>
      <c r="C398" s="291"/>
      <c r="D398" s="291"/>
      <c r="E398" s="291"/>
      <c r="F398" s="291"/>
      <c r="G398" s="293"/>
      <c r="H398" s="291"/>
      <c r="I398" s="291"/>
      <c r="J398" s="291"/>
      <c r="K398" s="291"/>
      <c r="L398" s="291"/>
      <c r="M398" s="291"/>
      <c r="N398" s="291"/>
      <c r="O398" s="291"/>
      <c r="P398" s="291"/>
    </row>
    <row r="399" spans="1:16" ht="15">
      <c r="A399" s="291"/>
      <c r="B399" s="291"/>
      <c r="C399" s="291"/>
      <c r="D399" s="291"/>
      <c r="E399" s="291"/>
      <c r="F399" s="291"/>
      <c r="G399" s="293"/>
      <c r="H399" s="291"/>
      <c r="I399" s="291"/>
      <c r="J399" s="291"/>
      <c r="K399" s="291"/>
      <c r="L399" s="291"/>
      <c r="M399" s="291"/>
      <c r="N399" s="291"/>
      <c r="O399" s="291"/>
      <c r="P399" s="291"/>
    </row>
    <row r="400" spans="1:16" ht="15">
      <c r="A400" s="291"/>
      <c r="B400" s="291"/>
      <c r="C400" s="291"/>
      <c r="D400" s="291"/>
      <c r="E400" s="291"/>
      <c r="F400" s="291"/>
      <c r="G400" s="293"/>
      <c r="H400" s="291"/>
      <c r="I400" s="291"/>
      <c r="J400" s="291"/>
      <c r="K400" s="291"/>
      <c r="L400" s="291"/>
      <c r="M400" s="291"/>
      <c r="N400" s="291"/>
      <c r="O400" s="291"/>
      <c r="P400" s="291"/>
    </row>
    <row r="401" spans="1:16" ht="15">
      <c r="A401" s="291"/>
      <c r="B401" s="291"/>
      <c r="C401" s="291"/>
      <c r="D401" s="291"/>
      <c r="E401" s="291"/>
      <c r="F401" s="291"/>
      <c r="G401" s="293"/>
      <c r="H401" s="291"/>
      <c r="I401" s="291"/>
      <c r="J401" s="291"/>
      <c r="K401" s="291"/>
      <c r="L401" s="291"/>
      <c r="M401" s="291"/>
      <c r="N401" s="291"/>
      <c r="O401" s="291"/>
      <c r="P401" s="291"/>
    </row>
    <row r="402" spans="1:16" ht="15">
      <c r="A402" s="291"/>
      <c r="B402" s="291"/>
      <c r="C402" s="291"/>
      <c r="D402" s="291"/>
      <c r="E402" s="291"/>
      <c r="F402" s="291"/>
      <c r="G402" s="293"/>
      <c r="H402" s="291"/>
      <c r="I402" s="291"/>
      <c r="J402" s="291"/>
      <c r="K402" s="291"/>
      <c r="L402" s="291"/>
      <c r="M402" s="291"/>
      <c r="N402" s="291"/>
      <c r="O402" s="291"/>
      <c r="P402" s="291"/>
    </row>
    <row r="403" spans="1:16" ht="15">
      <c r="A403" s="291"/>
      <c r="B403" s="291"/>
      <c r="C403" s="291"/>
      <c r="D403" s="291"/>
      <c r="E403" s="291"/>
      <c r="F403" s="291"/>
      <c r="G403" s="293"/>
      <c r="H403" s="291"/>
      <c r="I403" s="291"/>
      <c r="J403" s="291"/>
      <c r="K403" s="291"/>
      <c r="L403" s="291"/>
      <c r="M403" s="291"/>
      <c r="N403" s="291"/>
      <c r="O403" s="291"/>
      <c r="P403" s="291"/>
    </row>
    <row r="404" spans="1:16" ht="15">
      <c r="A404" s="291"/>
      <c r="B404" s="291"/>
      <c r="C404" s="291"/>
      <c r="D404" s="291"/>
      <c r="E404" s="291"/>
      <c r="F404" s="291"/>
      <c r="G404" s="293"/>
      <c r="H404" s="291"/>
      <c r="I404" s="291"/>
      <c r="J404" s="291"/>
      <c r="K404" s="291"/>
      <c r="L404" s="291"/>
      <c r="M404" s="291"/>
      <c r="N404" s="291"/>
      <c r="O404" s="291"/>
      <c r="P404" s="291"/>
    </row>
    <row r="405" spans="1:16" ht="15">
      <c r="A405" s="291"/>
      <c r="B405" s="291"/>
      <c r="C405" s="291"/>
      <c r="D405" s="291"/>
      <c r="E405" s="291"/>
      <c r="F405" s="291"/>
      <c r="G405" s="293"/>
      <c r="H405" s="291"/>
      <c r="I405" s="291"/>
      <c r="J405" s="291"/>
      <c r="K405" s="291"/>
      <c r="L405" s="291"/>
      <c r="M405" s="291"/>
      <c r="N405" s="291"/>
      <c r="O405" s="291"/>
      <c r="P405" s="291"/>
    </row>
    <row r="406" spans="1:16" ht="15">
      <c r="A406" s="291"/>
      <c r="B406" s="291"/>
      <c r="C406" s="291"/>
      <c r="D406" s="291"/>
      <c r="E406" s="291"/>
      <c r="F406" s="291"/>
      <c r="G406" s="293"/>
      <c r="H406" s="291"/>
      <c r="I406" s="291"/>
      <c r="J406" s="291"/>
      <c r="K406" s="291"/>
      <c r="L406" s="291"/>
      <c r="M406" s="291"/>
      <c r="N406" s="291"/>
      <c r="O406" s="291"/>
      <c r="P406" s="291"/>
    </row>
    <row r="407" spans="1:16" ht="15">
      <c r="A407" s="291"/>
      <c r="B407" s="291"/>
      <c r="C407" s="291"/>
      <c r="D407" s="291"/>
      <c r="E407" s="291"/>
      <c r="F407" s="291"/>
      <c r="G407" s="293"/>
      <c r="H407" s="291"/>
      <c r="I407" s="291"/>
      <c r="J407" s="291"/>
      <c r="K407" s="291"/>
      <c r="L407" s="291"/>
      <c r="M407" s="291"/>
      <c r="N407" s="291"/>
      <c r="O407" s="291"/>
      <c r="P407" s="291"/>
    </row>
    <row r="408" spans="1:16" ht="15">
      <c r="A408" s="291"/>
      <c r="B408" s="291"/>
      <c r="C408" s="291"/>
      <c r="D408" s="291"/>
      <c r="E408" s="291"/>
      <c r="F408" s="291"/>
      <c r="G408" s="293"/>
      <c r="H408" s="291"/>
      <c r="I408" s="291"/>
      <c r="J408" s="291"/>
      <c r="K408" s="291"/>
      <c r="L408" s="291"/>
      <c r="M408" s="291"/>
      <c r="N408" s="291"/>
      <c r="O408" s="291"/>
      <c r="P408" s="291"/>
    </row>
    <row r="409" spans="1:16" ht="15">
      <c r="A409" s="291"/>
      <c r="B409" s="291"/>
      <c r="C409" s="291"/>
      <c r="D409" s="291"/>
      <c r="E409" s="291"/>
      <c r="F409" s="291"/>
      <c r="G409" s="293"/>
      <c r="H409" s="291"/>
      <c r="I409" s="291"/>
      <c r="J409" s="291"/>
      <c r="K409" s="291"/>
      <c r="L409" s="291"/>
      <c r="M409" s="291"/>
      <c r="N409" s="291"/>
      <c r="O409" s="291"/>
      <c r="P409" s="291"/>
    </row>
    <row r="410" spans="1:16" ht="15">
      <c r="A410" s="291"/>
      <c r="B410" s="291"/>
      <c r="C410" s="291"/>
      <c r="D410" s="291"/>
      <c r="E410" s="291"/>
      <c r="F410" s="291"/>
      <c r="G410" s="293"/>
      <c r="H410" s="291"/>
      <c r="I410" s="291"/>
      <c r="J410" s="291"/>
      <c r="K410" s="291"/>
      <c r="L410" s="291"/>
      <c r="M410" s="291"/>
      <c r="N410" s="291"/>
      <c r="O410" s="291"/>
      <c r="P410" s="291"/>
    </row>
    <row r="411" spans="1:16" ht="15">
      <c r="A411" s="291"/>
      <c r="B411" s="291"/>
      <c r="C411" s="291"/>
      <c r="D411" s="291"/>
      <c r="E411" s="291"/>
      <c r="F411" s="291"/>
      <c r="G411" s="293"/>
      <c r="H411" s="291"/>
      <c r="I411" s="291"/>
      <c r="J411" s="291"/>
      <c r="K411" s="291"/>
      <c r="L411" s="291"/>
      <c r="M411" s="291"/>
      <c r="N411" s="291"/>
      <c r="O411" s="291"/>
      <c r="P411" s="291"/>
    </row>
    <row r="412" spans="1:16" ht="15">
      <c r="A412" s="291"/>
      <c r="B412" s="291"/>
      <c r="C412" s="291"/>
      <c r="D412" s="291"/>
      <c r="E412" s="291"/>
      <c r="F412" s="291"/>
      <c r="G412" s="293"/>
      <c r="H412" s="291"/>
      <c r="I412" s="291"/>
      <c r="J412" s="291"/>
      <c r="K412" s="291"/>
      <c r="L412" s="291"/>
      <c r="M412" s="291"/>
      <c r="N412" s="291"/>
      <c r="O412" s="291"/>
      <c r="P412" s="291"/>
    </row>
    <row r="413" spans="1:16" ht="15">
      <c r="A413" s="291"/>
      <c r="B413" s="291"/>
      <c r="C413" s="291"/>
      <c r="D413" s="291"/>
      <c r="E413" s="291"/>
      <c r="F413" s="291"/>
      <c r="G413" s="293"/>
      <c r="H413" s="291"/>
      <c r="I413" s="291"/>
      <c r="J413" s="291"/>
      <c r="K413" s="291"/>
      <c r="L413" s="291"/>
      <c r="M413" s="291"/>
      <c r="N413" s="291"/>
      <c r="O413" s="291"/>
      <c r="P413" s="291"/>
    </row>
    <row r="414" spans="1:16" ht="15">
      <c r="A414" s="291"/>
      <c r="B414" s="291"/>
      <c r="C414" s="291"/>
      <c r="D414" s="291"/>
      <c r="E414" s="291"/>
      <c r="F414" s="291"/>
      <c r="G414" s="293"/>
      <c r="H414" s="291"/>
      <c r="I414" s="291"/>
      <c r="J414" s="291"/>
      <c r="K414" s="291"/>
      <c r="L414" s="291"/>
      <c r="M414" s="291"/>
      <c r="N414" s="291"/>
      <c r="O414" s="291"/>
      <c r="P414" s="291"/>
    </row>
    <row r="415" spans="1:16" ht="15">
      <c r="A415" s="291"/>
      <c r="B415" s="291"/>
      <c r="C415" s="291"/>
      <c r="D415" s="291"/>
      <c r="E415" s="291"/>
      <c r="F415" s="291"/>
      <c r="G415" s="293"/>
      <c r="H415" s="291"/>
      <c r="I415" s="291"/>
      <c r="J415" s="291"/>
      <c r="K415" s="291"/>
      <c r="L415" s="291"/>
      <c r="M415" s="291"/>
      <c r="N415" s="291"/>
      <c r="O415" s="291"/>
      <c r="P415" s="291"/>
    </row>
    <row r="416" spans="1:16" ht="15">
      <c r="A416" s="291"/>
      <c r="B416" s="291"/>
      <c r="C416" s="291"/>
      <c r="D416" s="291"/>
      <c r="E416" s="291"/>
      <c r="F416" s="291"/>
      <c r="G416" s="293"/>
      <c r="H416" s="291"/>
      <c r="I416" s="291"/>
      <c r="J416" s="291"/>
      <c r="K416" s="291"/>
      <c r="L416" s="291"/>
      <c r="M416" s="291"/>
      <c r="N416" s="291"/>
      <c r="O416" s="291"/>
      <c r="P416" s="291"/>
    </row>
    <row r="417" spans="1:16" ht="15">
      <c r="A417" s="291"/>
      <c r="B417" s="291"/>
      <c r="C417" s="291"/>
      <c r="D417" s="291"/>
      <c r="E417" s="291"/>
      <c r="F417" s="291"/>
      <c r="G417" s="293"/>
      <c r="H417" s="291"/>
      <c r="I417" s="291"/>
      <c r="J417" s="291"/>
      <c r="K417" s="291"/>
      <c r="L417" s="291"/>
      <c r="M417" s="291"/>
      <c r="N417" s="291"/>
      <c r="O417" s="291"/>
      <c r="P417" s="291"/>
    </row>
    <row r="418" spans="1:16" ht="15">
      <c r="A418" s="291"/>
      <c r="B418" s="291"/>
      <c r="C418" s="291"/>
      <c r="D418" s="291"/>
      <c r="E418" s="291"/>
      <c r="F418" s="291"/>
      <c r="G418" s="293"/>
      <c r="H418" s="291"/>
      <c r="I418" s="291"/>
      <c r="J418" s="291"/>
      <c r="K418" s="291"/>
      <c r="L418" s="291"/>
      <c r="M418" s="291"/>
      <c r="N418" s="291"/>
      <c r="O418" s="291"/>
      <c r="P418" s="291"/>
    </row>
    <row r="419" spans="1:16" ht="15">
      <c r="A419" s="291"/>
      <c r="B419" s="291"/>
      <c r="C419" s="291"/>
      <c r="D419" s="291"/>
      <c r="E419" s="291"/>
      <c r="F419" s="291"/>
      <c r="G419" s="293"/>
      <c r="H419" s="291"/>
      <c r="I419" s="291"/>
      <c r="J419" s="291"/>
      <c r="K419" s="291"/>
      <c r="L419" s="291"/>
      <c r="M419" s="291"/>
      <c r="N419" s="291"/>
      <c r="O419" s="291"/>
      <c r="P419" s="291"/>
    </row>
    <row r="420" spans="1:16" ht="15">
      <c r="A420" s="291"/>
      <c r="B420" s="291"/>
      <c r="C420" s="291"/>
      <c r="D420" s="291"/>
      <c r="E420" s="291"/>
      <c r="F420" s="291"/>
      <c r="G420" s="293"/>
      <c r="H420" s="291"/>
      <c r="I420" s="291"/>
      <c r="J420" s="291"/>
      <c r="K420" s="291"/>
      <c r="L420" s="291"/>
      <c r="M420" s="291"/>
      <c r="N420" s="291"/>
      <c r="O420" s="291"/>
      <c r="P420" s="291"/>
    </row>
    <row r="421" spans="1:16" ht="15">
      <c r="A421" s="291"/>
      <c r="B421" s="291"/>
      <c r="C421" s="291"/>
      <c r="D421" s="291"/>
      <c r="E421" s="291"/>
      <c r="F421" s="291"/>
      <c r="G421" s="293"/>
      <c r="H421" s="291"/>
      <c r="I421" s="291"/>
      <c r="J421" s="291"/>
      <c r="K421" s="291"/>
      <c r="L421" s="291"/>
      <c r="M421" s="291"/>
      <c r="N421" s="291"/>
      <c r="O421" s="291"/>
      <c r="P421" s="291"/>
    </row>
    <row r="422" spans="1:16" ht="15">
      <c r="A422" s="291"/>
      <c r="B422" s="291"/>
      <c r="C422" s="291"/>
      <c r="D422" s="291"/>
      <c r="E422" s="291"/>
      <c r="F422" s="291"/>
      <c r="G422" s="293"/>
      <c r="H422" s="291"/>
      <c r="I422" s="291"/>
      <c r="J422" s="291"/>
      <c r="K422" s="291"/>
      <c r="L422" s="291"/>
      <c r="M422" s="291"/>
      <c r="N422" s="291"/>
      <c r="O422" s="291"/>
      <c r="P422" s="291"/>
    </row>
    <row r="423" spans="1:16" ht="15">
      <c r="A423" s="291"/>
      <c r="B423" s="291"/>
      <c r="C423" s="291"/>
      <c r="D423" s="291"/>
      <c r="E423" s="291"/>
      <c r="F423" s="291"/>
      <c r="G423" s="293"/>
      <c r="H423" s="291"/>
      <c r="I423" s="291"/>
      <c r="J423" s="291"/>
      <c r="K423" s="291"/>
      <c r="L423" s="291"/>
      <c r="M423" s="291"/>
      <c r="N423" s="291"/>
      <c r="O423" s="291"/>
      <c r="P423" s="291"/>
    </row>
    <row r="424" spans="1:16" ht="15">
      <c r="A424" s="291"/>
      <c r="B424" s="291"/>
      <c r="C424" s="291"/>
      <c r="D424" s="291"/>
      <c r="E424" s="291"/>
      <c r="F424" s="291"/>
      <c r="G424" s="293"/>
      <c r="H424" s="291"/>
      <c r="I424" s="291"/>
      <c r="J424" s="291"/>
      <c r="K424" s="291"/>
      <c r="L424" s="291"/>
      <c r="M424" s="291"/>
      <c r="N424" s="291"/>
      <c r="O424" s="291"/>
      <c r="P424" s="291"/>
    </row>
    <row r="425" spans="1:16" ht="15">
      <c r="A425" s="291"/>
      <c r="B425" s="291"/>
      <c r="C425" s="291"/>
      <c r="D425" s="291"/>
      <c r="E425" s="291"/>
      <c r="F425" s="291"/>
      <c r="G425" s="293"/>
      <c r="H425" s="291"/>
      <c r="I425" s="291"/>
      <c r="J425" s="291"/>
      <c r="K425" s="291"/>
      <c r="L425" s="291"/>
      <c r="M425" s="291"/>
      <c r="N425" s="291"/>
      <c r="O425" s="291"/>
      <c r="P425" s="291"/>
    </row>
    <row r="426" spans="1:16" ht="15">
      <c r="A426" s="291"/>
      <c r="B426" s="291"/>
      <c r="C426" s="291"/>
      <c r="D426" s="291"/>
      <c r="E426" s="291"/>
      <c r="F426" s="291"/>
      <c r="G426" s="293"/>
      <c r="H426" s="291"/>
      <c r="I426" s="291"/>
      <c r="J426" s="291"/>
      <c r="K426" s="291"/>
      <c r="L426" s="291"/>
      <c r="M426" s="291"/>
      <c r="N426" s="291"/>
      <c r="O426" s="291"/>
      <c r="P426" s="291"/>
    </row>
    <row r="427" spans="1:16" ht="15">
      <c r="A427" s="291"/>
      <c r="B427" s="291"/>
      <c r="C427" s="291"/>
      <c r="D427" s="291"/>
      <c r="E427" s="291"/>
      <c r="F427" s="291"/>
      <c r="G427" s="293"/>
      <c r="H427" s="291"/>
      <c r="I427" s="291"/>
      <c r="J427" s="291"/>
      <c r="K427" s="291"/>
      <c r="L427" s="291"/>
      <c r="M427" s="291"/>
      <c r="N427" s="291"/>
      <c r="O427" s="291"/>
      <c r="P427" s="291"/>
    </row>
    <row r="428" spans="1:16" ht="15">
      <c r="A428" s="291"/>
      <c r="B428" s="291"/>
      <c r="C428" s="291"/>
      <c r="D428" s="291"/>
      <c r="E428" s="291"/>
      <c r="F428" s="291"/>
      <c r="G428" s="293"/>
      <c r="H428" s="291"/>
      <c r="I428" s="291"/>
      <c r="J428" s="291"/>
      <c r="K428" s="291"/>
      <c r="L428" s="291"/>
      <c r="M428" s="291"/>
      <c r="N428" s="291"/>
      <c r="O428" s="291"/>
      <c r="P428" s="291"/>
    </row>
    <row r="429" spans="1:16" ht="15">
      <c r="A429" s="291"/>
      <c r="B429" s="291"/>
      <c r="C429" s="291"/>
      <c r="D429" s="291"/>
      <c r="E429" s="291"/>
      <c r="F429" s="291"/>
      <c r="G429" s="293"/>
      <c r="H429" s="291"/>
      <c r="I429" s="291"/>
      <c r="J429" s="291"/>
      <c r="K429" s="291"/>
      <c r="L429" s="291"/>
      <c r="M429" s="291"/>
      <c r="N429" s="291"/>
      <c r="O429" s="291"/>
      <c r="P429" s="291"/>
    </row>
    <row r="430" spans="1:16" ht="15">
      <c r="A430" s="291"/>
      <c r="B430" s="291"/>
      <c r="C430" s="291"/>
      <c r="D430" s="291"/>
      <c r="E430" s="291"/>
      <c r="F430" s="291"/>
      <c r="G430" s="293"/>
      <c r="H430" s="291"/>
      <c r="I430" s="291"/>
      <c r="J430" s="291"/>
      <c r="K430" s="291"/>
      <c r="L430" s="291"/>
      <c r="M430" s="291"/>
      <c r="N430" s="291"/>
      <c r="O430" s="291"/>
      <c r="P430" s="291"/>
    </row>
    <row r="431" spans="1:16" ht="15">
      <c r="A431" s="291"/>
      <c r="B431" s="291"/>
      <c r="C431" s="291"/>
      <c r="D431" s="291"/>
      <c r="E431" s="291"/>
      <c r="F431" s="291"/>
      <c r="G431" s="293"/>
      <c r="H431" s="291"/>
      <c r="I431" s="291"/>
      <c r="J431" s="291"/>
      <c r="K431" s="291"/>
      <c r="L431" s="291"/>
      <c r="M431" s="291"/>
      <c r="N431" s="291"/>
      <c r="O431" s="291"/>
      <c r="P431" s="291"/>
    </row>
    <row r="432" spans="1:16" ht="15">
      <c r="A432" s="291"/>
      <c r="B432" s="291"/>
      <c r="C432" s="291"/>
      <c r="D432" s="291"/>
      <c r="E432" s="291"/>
      <c r="F432" s="291"/>
      <c r="G432" s="293"/>
      <c r="H432" s="291"/>
      <c r="I432" s="291"/>
      <c r="J432" s="291"/>
      <c r="K432" s="291"/>
      <c r="L432" s="291"/>
      <c r="M432" s="291"/>
      <c r="N432" s="291"/>
      <c r="O432" s="291"/>
      <c r="P432" s="291"/>
    </row>
    <row r="433" spans="1:16" ht="15">
      <c r="A433" s="291"/>
      <c r="B433" s="291"/>
      <c r="C433" s="291"/>
      <c r="D433" s="291"/>
      <c r="E433" s="291"/>
      <c r="F433" s="291"/>
      <c r="G433" s="293"/>
      <c r="H433" s="291"/>
      <c r="I433" s="291"/>
      <c r="J433" s="291"/>
      <c r="K433" s="291"/>
      <c r="L433" s="291"/>
      <c r="M433" s="291"/>
      <c r="N433" s="291"/>
      <c r="O433" s="291"/>
      <c r="P433" s="291"/>
    </row>
    <row r="434" spans="1:16" ht="15">
      <c r="A434" s="291"/>
      <c r="B434" s="291"/>
      <c r="C434" s="291"/>
      <c r="D434" s="291"/>
      <c r="E434" s="291"/>
      <c r="F434" s="291"/>
      <c r="G434" s="293"/>
      <c r="H434" s="291"/>
      <c r="I434" s="291"/>
      <c r="J434" s="291"/>
      <c r="K434" s="291"/>
      <c r="L434" s="291"/>
      <c r="M434" s="291"/>
      <c r="N434" s="291"/>
      <c r="O434" s="291"/>
      <c r="P434" s="291"/>
    </row>
    <row r="435" spans="1:16" ht="15">
      <c r="A435" s="291"/>
      <c r="B435" s="291"/>
      <c r="C435" s="291"/>
      <c r="D435" s="291"/>
      <c r="E435" s="291"/>
      <c r="F435" s="291"/>
      <c r="G435" s="293"/>
      <c r="H435" s="291"/>
      <c r="I435" s="291"/>
      <c r="J435" s="291"/>
      <c r="K435" s="291"/>
      <c r="L435" s="291"/>
      <c r="M435" s="291"/>
      <c r="N435" s="291"/>
      <c r="O435" s="291"/>
      <c r="P435" s="291"/>
    </row>
    <row r="436" spans="1:16" ht="15">
      <c r="A436" s="291"/>
      <c r="B436" s="291"/>
      <c r="C436" s="291"/>
      <c r="D436" s="291"/>
      <c r="E436" s="291"/>
      <c r="F436" s="291"/>
      <c r="G436" s="293"/>
      <c r="H436" s="291"/>
      <c r="I436" s="291"/>
      <c r="J436" s="291"/>
      <c r="K436" s="291"/>
      <c r="L436" s="291"/>
      <c r="M436" s="291"/>
      <c r="N436" s="291"/>
      <c r="O436" s="291"/>
      <c r="P436" s="291"/>
    </row>
    <row r="437" spans="1:16" ht="15">
      <c r="A437" s="291"/>
      <c r="B437" s="291"/>
      <c r="C437" s="291"/>
      <c r="D437" s="291"/>
      <c r="E437" s="291"/>
      <c r="F437" s="291"/>
      <c r="G437" s="293"/>
      <c r="H437" s="291"/>
      <c r="I437" s="291"/>
      <c r="J437" s="291"/>
      <c r="K437" s="291"/>
      <c r="L437" s="291"/>
      <c r="M437" s="291"/>
      <c r="N437" s="291"/>
      <c r="O437" s="291"/>
      <c r="P437" s="291"/>
    </row>
    <row r="438" spans="1:16" ht="15">
      <c r="A438" s="291"/>
      <c r="B438" s="291"/>
      <c r="C438" s="291"/>
      <c r="D438" s="291"/>
      <c r="E438" s="291"/>
      <c r="F438" s="291"/>
      <c r="G438" s="293"/>
      <c r="H438" s="291"/>
      <c r="I438" s="291"/>
      <c r="J438" s="291"/>
      <c r="K438" s="291"/>
      <c r="L438" s="291"/>
      <c r="M438" s="291"/>
      <c r="N438" s="291"/>
      <c r="O438" s="291"/>
      <c r="P438" s="291"/>
    </row>
    <row r="439" spans="1:16" ht="15">
      <c r="A439" s="291"/>
      <c r="B439" s="291"/>
      <c r="C439" s="291"/>
      <c r="D439" s="291"/>
      <c r="E439" s="291"/>
      <c r="F439" s="291"/>
      <c r="G439" s="293"/>
      <c r="H439" s="291"/>
      <c r="I439" s="291"/>
      <c r="J439" s="291"/>
      <c r="K439" s="291"/>
      <c r="L439" s="291"/>
      <c r="M439" s="291"/>
      <c r="N439" s="291"/>
      <c r="O439" s="291"/>
      <c r="P439" s="291"/>
    </row>
    <row r="440" spans="1:16" ht="15">
      <c r="A440" s="291"/>
      <c r="B440" s="291"/>
      <c r="C440" s="291"/>
      <c r="D440" s="291"/>
      <c r="E440" s="291"/>
      <c r="F440" s="291"/>
      <c r="G440" s="293"/>
      <c r="H440" s="291"/>
      <c r="I440" s="291"/>
      <c r="J440" s="291"/>
      <c r="K440" s="291"/>
      <c r="L440" s="291"/>
      <c r="M440" s="291"/>
      <c r="N440" s="291"/>
      <c r="O440" s="291"/>
      <c r="P440" s="291"/>
    </row>
    <row r="441" spans="1:16" ht="15">
      <c r="A441" s="291"/>
      <c r="B441" s="291"/>
      <c r="C441" s="291"/>
      <c r="D441" s="291"/>
      <c r="E441" s="291"/>
      <c r="F441" s="291"/>
      <c r="G441" s="293"/>
      <c r="H441" s="291"/>
      <c r="I441" s="291"/>
      <c r="J441" s="291"/>
      <c r="K441" s="291"/>
      <c r="L441" s="291"/>
      <c r="M441" s="291"/>
      <c r="N441" s="291"/>
      <c r="O441" s="291"/>
      <c r="P441" s="291"/>
    </row>
    <row r="442" spans="1:16" ht="15">
      <c r="A442" s="291"/>
      <c r="B442" s="291"/>
      <c r="C442" s="291"/>
      <c r="D442" s="291"/>
      <c r="E442" s="291"/>
      <c r="F442" s="291"/>
      <c r="G442" s="293"/>
      <c r="H442" s="291"/>
      <c r="I442" s="291"/>
      <c r="J442" s="291"/>
      <c r="K442" s="291"/>
      <c r="L442" s="291"/>
      <c r="M442" s="291"/>
      <c r="N442" s="291"/>
      <c r="O442" s="291"/>
      <c r="P442" s="291"/>
    </row>
    <row r="443" spans="1:16" ht="15">
      <c r="A443" s="291"/>
      <c r="B443" s="291"/>
      <c r="C443" s="291"/>
      <c r="D443" s="291"/>
      <c r="E443" s="291"/>
      <c r="F443" s="291"/>
      <c r="G443" s="293"/>
      <c r="H443" s="291"/>
      <c r="I443" s="291"/>
      <c r="J443" s="291"/>
      <c r="K443" s="291"/>
      <c r="L443" s="291"/>
      <c r="M443" s="291"/>
      <c r="N443" s="291"/>
      <c r="O443" s="291"/>
      <c r="P443" s="291"/>
    </row>
    <row r="444" spans="1:16" ht="15">
      <c r="A444" s="291"/>
      <c r="B444" s="291"/>
      <c r="C444" s="291"/>
      <c r="D444" s="291"/>
      <c r="E444" s="291"/>
      <c r="F444" s="291"/>
      <c r="G444" s="293"/>
      <c r="H444" s="291"/>
      <c r="I444" s="291"/>
      <c r="J444" s="291"/>
      <c r="K444" s="291"/>
      <c r="L444" s="291"/>
      <c r="M444" s="291"/>
      <c r="N444" s="291"/>
      <c r="O444" s="291"/>
      <c r="P444" s="291"/>
    </row>
    <row r="445" spans="1:16" ht="15">
      <c r="A445" s="291"/>
      <c r="B445" s="291"/>
      <c r="C445" s="291"/>
      <c r="D445" s="291"/>
      <c r="E445" s="291"/>
      <c r="F445" s="291"/>
      <c r="G445" s="293"/>
      <c r="H445" s="291"/>
      <c r="I445" s="291"/>
      <c r="J445" s="291"/>
      <c r="K445" s="291"/>
      <c r="L445" s="291"/>
      <c r="M445" s="291"/>
      <c r="N445" s="291"/>
      <c r="O445" s="291"/>
      <c r="P445" s="291"/>
    </row>
    <row r="446" spans="1:16" ht="15">
      <c r="A446" s="291"/>
      <c r="B446" s="291"/>
      <c r="C446" s="291"/>
      <c r="D446" s="291"/>
      <c r="E446" s="291"/>
      <c r="F446" s="291"/>
      <c r="G446" s="293"/>
      <c r="H446" s="291"/>
      <c r="I446" s="291"/>
      <c r="J446" s="291"/>
      <c r="K446" s="291"/>
      <c r="L446" s="291"/>
      <c r="M446" s="291"/>
      <c r="N446" s="291"/>
      <c r="O446" s="291"/>
      <c r="P446" s="291"/>
    </row>
    <row r="447" spans="1:16" ht="15">
      <c r="A447" s="291"/>
      <c r="B447" s="291"/>
      <c r="C447" s="291"/>
      <c r="D447" s="291"/>
      <c r="E447" s="291"/>
      <c r="F447" s="291"/>
      <c r="G447" s="293"/>
      <c r="H447" s="291"/>
      <c r="I447" s="291"/>
      <c r="J447" s="291"/>
      <c r="K447" s="291"/>
      <c r="L447" s="291"/>
      <c r="M447" s="291"/>
      <c r="N447" s="291"/>
      <c r="O447" s="291"/>
      <c r="P447" s="291"/>
    </row>
    <row r="448" spans="1:16" ht="15">
      <c r="A448" s="291"/>
      <c r="B448" s="291"/>
      <c r="C448" s="291"/>
      <c r="D448" s="291"/>
      <c r="E448" s="291"/>
      <c r="F448" s="291"/>
      <c r="G448" s="293"/>
      <c r="H448" s="291"/>
      <c r="I448" s="291"/>
      <c r="J448" s="291"/>
      <c r="K448" s="291"/>
      <c r="L448" s="291"/>
      <c r="M448" s="291"/>
      <c r="N448" s="291"/>
      <c r="O448" s="291"/>
      <c r="P448" s="291"/>
    </row>
    <row r="449" spans="1:16" ht="15">
      <c r="A449" s="291"/>
      <c r="B449" s="291"/>
      <c r="C449" s="291"/>
      <c r="D449" s="291"/>
      <c r="E449" s="291"/>
      <c r="F449" s="291"/>
      <c r="G449" s="293"/>
      <c r="H449" s="291"/>
      <c r="I449" s="291"/>
      <c r="J449" s="291"/>
      <c r="K449" s="291"/>
      <c r="L449" s="291"/>
      <c r="M449" s="291"/>
      <c r="N449" s="291"/>
      <c r="O449" s="291"/>
      <c r="P449" s="291"/>
    </row>
    <row r="450" spans="1:16" ht="15">
      <c r="A450" s="291"/>
      <c r="B450" s="291"/>
      <c r="C450" s="291"/>
      <c r="D450" s="291"/>
      <c r="E450" s="291"/>
      <c r="F450" s="291"/>
      <c r="G450" s="293"/>
      <c r="H450" s="291"/>
      <c r="I450" s="291"/>
      <c r="J450" s="291"/>
      <c r="K450" s="291"/>
      <c r="L450" s="291"/>
      <c r="M450" s="291"/>
      <c r="N450" s="291"/>
      <c r="O450" s="291"/>
      <c r="P450" s="291"/>
    </row>
    <row r="451" spans="1:16" ht="15">
      <c r="A451" s="291"/>
      <c r="B451" s="291"/>
      <c r="C451" s="291"/>
      <c r="D451" s="291"/>
      <c r="E451" s="291"/>
      <c r="F451" s="291"/>
      <c r="G451" s="293"/>
      <c r="H451" s="291"/>
      <c r="I451" s="291"/>
      <c r="J451" s="291"/>
      <c r="K451" s="291"/>
      <c r="L451" s="291"/>
      <c r="M451" s="291"/>
      <c r="N451" s="291"/>
      <c r="O451" s="291"/>
      <c r="P451" s="291"/>
    </row>
    <row r="452" spans="1:16" ht="15">
      <c r="A452" s="291"/>
      <c r="B452" s="291"/>
      <c r="C452" s="291"/>
      <c r="D452" s="291"/>
      <c r="E452" s="291"/>
      <c r="F452" s="291"/>
      <c r="G452" s="293"/>
      <c r="H452" s="291"/>
      <c r="I452" s="291"/>
      <c r="J452" s="291"/>
      <c r="K452" s="291"/>
      <c r="L452" s="291"/>
      <c r="M452" s="291"/>
      <c r="N452" s="291"/>
      <c r="O452" s="291"/>
      <c r="P452" s="291"/>
    </row>
    <row r="453" spans="1:16" ht="15">
      <c r="A453" s="291"/>
      <c r="B453" s="291"/>
      <c r="C453" s="291"/>
      <c r="D453" s="291"/>
      <c r="E453" s="291"/>
      <c r="F453" s="291"/>
      <c r="G453" s="293"/>
      <c r="H453" s="291"/>
      <c r="I453" s="291"/>
      <c r="J453" s="291"/>
      <c r="K453" s="291"/>
      <c r="L453" s="291"/>
      <c r="M453" s="291"/>
      <c r="N453" s="291"/>
      <c r="O453" s="291"/>
      <c r="P453" s="291"/>
    </row>
    <row r="454" spans="1:16" ht="15">
      <c r="A454" s="291"/>
      <c r="B454" s="291"/>
      <c r="C454" s="291"/>
      <c r="D454" s="291"/>
      <c r="E454" s="291"/>
      <c r="F454" s="291"/>
      <c r="G454" s="293"/>
      <c r="H454" s="291"/>
      <c r="I454" s="291"/>
      <c r="J454" s="291"/>
      <c r="K454" s="291"/>
      <c r="L454" s="291"/>
      <c r="M454" s="291"/>
      <c r="N454" s="291"/>
      <c r="O454" s="291"/>
      <c r="P454" s="291"/>
    </row>
    <row r="455" spans="1:16" ht="15">
      <c r="A455" s="291"/>
      <c r="B455" s="291"/>
      <c r="C455" s="291"/>
      <c r="D455" s="291"/>
      <c r="E455" s="291"/>
      <c r="F455" s="291"/>
      <c r="G455" s="293"/>
      <c r="H455" s="291"/>
      <c r="I455" s="291"/>
      <c r="J455" s="291"/>
      <c r="K455" s="291"/>
      <c r="L455" s="291"/>
      <c r="M455" s="291"/>
      <c r="N455" s="291"/>
      <c r="O455" s="291"/>
      <c r="P455" s="291"/>
    </row>
    <row r="456" spans="1:16" ht="15">
      <c r="A456" s="291"/>
      <c r="B456" s="291"/>
      <c r="C456" s="291"/>
      <c r="D456" s="291"/>
      <c r="E456" s="291"/>
      <c r="F456" s="291"/>
      <c r="G456" s="293"/>
      <c r="H456" s="291"/>
      <c r="I456" s="291"/>
      <c r="J456" s="291"/>
      <c r="K456" s="291"/>
      <c r="L456" s="291"/>
      <c r="M456" s="291"/>
      <c r="N456" s="291"/>
      <c r="O456" s="291"/>
      <c r="P456" s="291"/>
    </row>
    <row r="457" spans="1:16" ht="15">
      <c r="A457" s="291"/>
      <c r="B457" s="291"/>
      <c r="C457" s="291"/>
      <c r="D457" s="291"/>
      <c r="E457" s="291"/>
      <c r="F457" s="291"/>
      <c r="G457" s="293"/>
      <c r="H457" s="291"/>
      <c r="I457" s="291"/>
      <c r="J457" s="291"/>
      <c r="K457" s="291"/>
      <c r="L457" s="291"/>
      <c r="M457" s="291"/>
      <c r="N457" s="291"/>
      <c r="O457" s="291"/>
      <c r="P457" s="291"/>
    </row>
    <row r="458" spans="1:16" ht="15">
      <c r="A458" s="291"/>
      <c r="B458" s="291"/>
      <c r="C458" s="291"/>
      <c r="D458" s="291"/>
      <c r="E458" s="291"/>
      <c r="F458" s="291"/>
      <c r="G458" s="293"/>
      <c r="H458" s="291"/>
      <c r="I458" s="291"/>
      <c r="J458" s="291"/>
      <c r="K458" s="291"/>
      <c r="L458" s="291"/>
      <c r="M458" s="291"/>
      <c r="N458" s="291"/>
      <c r="O458" s="291"/>
      <c r="P458" s="291"/>
    </row>
    <row r="459" spans="1:16" ht="15">
      <c r="A459" s="291"/>
      <c r="B459" s="291"/>
      <c r="C459" s="291"/>
      <c r="D459" s="291"/>
      <c r="E459" s="291"/>
      <c r="F459" s="291"/>
      <c r="G459" s="293"/>
      <c r="H459" s="291"/>
      <c r="I459" s="291"/>
      <c r="J459" s="291"/>
      <c r="K459" s="291"/>
      <c r="L459" s="291"/>
      <c r="M459" s="291"/>
      <c r="N459" s="291"/>
      <c r="O459" s="291"/>
      <c r="P459" s="291"/>
    </row>
    <row r="460" spans="1:16" ht="15">
      <c r="A460" s="291"/>
      <c r="B460" s="291"/>
      <c r="C460" s="291"/>
      <c r="D460" s="291"/>
      <c r="E460" s="291"/>
      <c r="F460" s="291"/>
      <c r="G460" s="293"/>
      <c r="H460" s="291"/>
      <c r="I460" s="291"/>
      <c r="J460" s="291"/>
      <c r="K460" s="291"/>
      <c r="L460" s="291"/>
      <c r="M460" s="291"/>
      <c r="N460" s="291"/>
      <c r="O460" s="291"/>
      <c r="P460" s="291"/>
    </row>
    <row r="461" spans="1:16" ht="15">
      <c r="A461" s="291"/>
      <c r="B461" s="291"/>
      <c r="C461" s="291"/>
      <c r="D461" s="291"/>
      <c r="E461" s="291"/>
      <c r="F461" s="291"/>
      <c r="G461" s="293"/>
      <c r="H461" s="291"/>
      <c r="I461" s="291"/>
      <c r="J461" s="291"/>
      <c r="K461" s="291"/>
      <c r="L461" s="291"/>
      <c r="M461" s="291"/>
      <c r="N461" s="291"/>
      <c r="O461" s="291"/>
      <c r="P461" s="291"/>
    </row>
    <row r="462" spans="1:16" ht="15">
      <c r="A462" s="291"/>
      <c r="B462" s="291"/>
      <c r="C462" s="291"/>
      <c r="D462" s="291"/>
      <c r="E462" s="291"/>
      <c r="F462" s="291"/>
      <c r="G462" s="293"/>
      <c r="H462" s="291"/>
      <c r="I462" s="291"/>
      <c r="J462" s="291"/>
      <c r="K462" s="291"/>
      <c r="L462" s="291"/>
      <c r="M462" s="291"/>
      <c r="N462" s="291"/>
      <c r="O462" s="291"/>
      <c r="P462" s="291"/>
    </row>
    <row r="463" spans="1:16" ht="15">
      <c r="A463" s="291"/>
      <c r="B463" s="291"/>
      <c r="C463" s="291"/>
      <c r="D463" s="291"/>
      <c r="E463" s="291"/>
      <c r="F463" s="291"/>
      <c r="G463" s="293"/>
      <c r="H463" s="291"/>
      <c r="I463" s="291"/>
      <c r="J463" s="291"/>
      <c r="K463" s="291"/>
      <c r="L463" s="291"/>
      <c r="M463" s="291"/>
      <c r="N463" s="291"/>
      <c r="O463" s="291"/>
      <c r="P463" s="291"/>
    </row>
    <row r="464" spans="1:16" ht="15">
      <c r="A464" s="291"/>
      <c r="B464" s="291"/>
      <c r="C464" s="291"/>
      <c r="D464" s="291"/>
      <c r="E464" s="291"/>
      <c r="F464" s="291"/>
      <c r="G464" s="293"/>
      <c r="H464" s="291"/>
      <c r="I464" s="291"/>
      <c r="J464" s="291"/>
      <c r="K464" s="291"/>
      <c r="L464" s="291"/>
      <c r="M464" s="291"/>
      <c r="N464" s="291"/>
      <c r="O464" s="291"/>
      <c r="P464" s="291"/>
    </row>
    <row r="465" spans="1:16" ht="15">
      <c r="A465" s="291"/>
      <c r="B465" s="291"/>
      <c r="C465" s="291"/>
      <c r="D465" s="291"/>
      <c r="E465" s="291"/>
      <c r="F465" s="291"/>
      <c r="G465" s="293"/>
      <c r="H465" s="291"/>
      <c r="I465" s="291"/>
      <c r="J465" s="291"/>
      <c r="K465" s="291"/>
      <c r="L465" s="291"/>
      <c r="M465" s="291"/>
      <c r="N465" s="291"/>
      <c r="O465" s="291"/>
      <c r="P465" s="291"/>
    </row>
    <row r="466" spans="1:16" ht="15">
      <c r="A466" s="291"/>
      <c r="B466" s="291"/>
      <c r="C466" s="291"/>
      <c r="D466" s="291"/>
      <c r="E466" s="291"/>
      <c r="F466" s="291"/>
      <c r="G466" s="293"/>
      <c r="H466" s="291"/>
      <c r="I466" s="291"/>
      <c r="J466" s="291"/>
      <c r="K466" s="291"/>
      <c r="L466" s="291"/>
      <c r="M466" s="291"/>
      <c r="N466" s="291"/>
      <c r="O466" s="291"/>
      <c r="P466" s="291"/>
    </row>
    <row r="467" spans="1:16" ht="15">
      <c r="A467" s="291"/>
      <c r="B467" s="291"/>
      <c r="C467" s="291"/>
      <c r="D467" s="291"/>
      <c r="E467" s="291"/>
      <c r="F467" s="291"/>
      <c r="G467" s="293"/>
      <c r="H467" s="291"/>
      <c r="I467" s="291"/>
      <c r="J467" s="291"/>
      <c r="K467" s="291"/>
      <c r="L467" s="291"/>
      <c r="M467" s="291"/>
      <c r="N467" s="291"/>
      <c r="O467" s="291"/>
      <c r="P467" s="291"/>
    </row>
    <row r="468" spans="1:16" ht="15">
      <c r="A468" s="291"/>
      <c r="B468" s="291"/>
      <c r="C468" s="291"/>
      <c r="D468" s="291"/>
      <c r="E468" s="291"/>
      <c r="F468" s="291"/>
      <c r="G468" s="293"/>
      <c r="H468" s="291"/>
      <c r="I468" s="291"/>
      <c r="J468" s="291"/>
      <c r="K468" s="291"/>
      <c r="L468" s="291"/>
      <c r="M468" s="291"/>
      <c r="N468" s="291"/>
      <c r="O468" s="291"/>
      <c r="P468" s="291"/>
    </row>
    <row r="469" spans="1:16" ht="15">
      <c r="A469" s="291"/>
      <c r="B469" s="291"/>
      <c r="C469" s="291"/>
      <c r="D469" s="291"/>
      <c r="E469" s="291"/>
      <c r="F469" s="291"/>
      <c r="G469" s="293"/>
      <c r="H469" s="291"/>
      <c r="I469" s="291"/>
      <c r="J469" s="291"/>
      <c r="K469" s="291"/>
      <c r="L469" s="291"/>
      <c r="M469" s="291"/>
      <c r="N469" s="291"/>
      <c r="O469" s="291"/>
      <c r="P469" s="291"/>
    </row>
    <row r="470" spans="1:16" ht="15">
      <c r="A470" s="291"/>
      <c r="B470" s="291"/>
      <c r="C470" s="291"/>
      <c r="D470" s="291"/>
      <c r="E470" s="291"/>
      <c r="F470" s="291"/>
      <c r="G470" s="293"/>
      <c r="H470" s="291"/>
      <c r="I470" s="291"/>
      <c r="J470" s="291"/>
      <c r="K470" s="291"/>
      <c r="L470" s="291"/>
      <c r="M470" s="291"/>
      <c r="N470" s="291"/>
      <c r="O470" s="291"/>
      <c r="P470" s="291"/>
    </row>
    <row r="471" spans="1:16" ht="15">
      <c r="A471" s="291"/>
      <c r="B471" s="291"/>
      <c r="C471" s="291"/>
      <c r="D471" s="291"/>
      <c r="E471" s="291"/>
      <c r="F471" s="291"/>
      <c r="G471" s="293"/>
      <c r="H471" s="291"/>
      <c r="I471" s="291"/>
      <c r="J471" s="291"/>
      <c r="K471" s="291"/>
      <c r="L471" s="291"/>
      <c r="M471" s="291"/>
      <c r="N471" s="291"/>
      <c r="O471" s="291"/>
      <c r="P471" s="291"/>
    </row>
    <row r="472" spans="1:16" ht="15">
      <c r="A472" s="291"/>
      <c r="B472" s="291"/>
      <c r="C472" s="291"/>
      <c r="D472" s="291"/>
      <c r="E472" s="291"/>
      <c r="F472" s="291"/>
      <c r="G472" s="293"/>
      <c r="H472" s="291"/>
      <c r="I472" s="291"/>
      <c r="J472" s="291"/>
      <c r="K472" s="291"/>
      <c r="L472" s="291"/>
      <c r="M472" s="291"/>
      <c r="N472" s="291"/>
      <c r="O472" s="291"/>
      <c r="P472" s="291"/>
    </row>
    <row r="473" spans="1:16" ht="15">
      <c r="A473" s="291"/>
      <c r="B473" s="291"/>
      <c r="C473" s="291"/>
      <c r="D473" s="291"/>
      <c r="E473" s="291"/>
      <c r="F473" s="291"/>
      <c r="G473" s="293"/>
      <c r="H473" s="291"/>
      <c r="I473" s="291"/>
      <c r="J473" s="291"/>
      <c r="K473" s="291"/>
      <c r="L473" s="291"/>
      <c r="M473" s="291"/>
      <c r="N473" s="291"/>
      <c r="O473" s="291"/>
      <c r="P473" s="291"/>
    </row>
    <row r="474" spans="1:16" ht="15">
      <c r="A474" s="291"/>
      <c r="B474" s="291"/>
      <c r="C474" s="291"/>
      <c r="D474" s="291"/>
      <c r="E474" s="291"/>
      <c r="F474" s="291"/>
      <c r="G474" s="293"/>
      <c r="H474" s="291"/>
      <c r="I474" s="291"/>
      <c r="J474" s="291"/>
      <c r="K474" s="291"/>
      <c r="L474" s="291"/>
      <c r="M474" s="291"/>
      <c r="N474" s="291"/>
      <c r="O474" s="291"/>
      <c r="P474" s="291"/>
    </row>
    <row r="475" spans="1:16" ht="15">
      <c r="A475" s="291"/>
      <c r="B475" s="291"/>
      <c r="C475" s="291"/>
      <c r="D475" s="291"/>
      <c r="E475" s="291"/>
      <c r="F475" s="291"/>
      <c r="G475" s="293"/>
      <c r="H475" s="291"/>
      <c r="I475" s="291"/>
      <c r="J475" s="291"/>
      <c r="K475" s="291"/>
      <c r="L475" s="291"/>
      <c r="M475" s="291"/>
      <c r="N475" s="291"/>
      <c r="O475" s="291"/>
      <c r="P475" s="291"/>
    </row>
    <row r="476" spans="1:16" ht="15">
      <c r="A476" s="291"/>
      <c r="B476" s="291"/>
      <c r="C476" s="291"/>
      <c r="D476" s="291"/>
      <c r="E476" s="291"/>
      <c r="F476" s="291"/>
      <c r="G476" s="293"/>
      <c r="H476" s="291"/>
      <c r="I476" s="291"/>
      <c r="J476" s="291"/>
      <c r="K476" s="291"/>
      <c r="L476" s="291"/>
      <c r="M476" s="291"/>
      <c r="N476" s="291"/>
      <c r="O476" s="291"/>
      <c r="P476" s="291"/>
    </row>
    <row r="477" spans="1:16" ht="15">
      <c r="A477" s="291"/>
      <c r="B477" s="291"/>
      <c r="C477" s="291"/>
      <c r="D477" s="291"/>
      <c r="E477" s="291"/>
      <c r="F477" s="291"/>
      <c r="G477" s="293"/>
      <c r="H477" s="291"/>
      <c r="I477" s="291"/>
      <c r="J477" s="291"/>
      <c r="K477" s="291"/>
      <c r="L477" s="291"/>
      <c r="M477" s="291"/>
      <c r="N477" s="291"/>
      <c r="O477" s="291"/>
      <c r="P477" s="291"/>
    </row>
    <row r="478" spans="1:16" ht="15">
      <c r="A478" s="291"/>
      <c r="B478" s="291"/>
      <c r="C478" s="291"/>
      <c r="D478" s="291"/>
      <c r="E478" s="291"/>
      <c r="F478" s="291"/>
      <c r="G478" s="293"/>
      <c r="H478" s="291"/>
      <c r="I478" s="291"/>
      <c r="J478" s="291"/>
      <c r="K478" s="291"/>
      <c r="L478" s="291"/>
      <c r="M478" s="291"/>
      <c r="N478" s="291"/>
      <c r="O478" s="291"/>
      <c r="P478" s="291"/>
    </row>
    <row r="479" spans="1:16" ht="15">
      <c r="A479" s="291"/>
      <c r="B479" s="291"/>
      <c r="C479" s="291"/>
      <c r="D479" s="291"/>
      <c r="E479" s="291"/>
      <c r="F479" s="291"/>
      <c r="G479" s="293"/>
      <c r="H479" s="291"/>
      <c r="I479" s="291"/>
      <c r="J479" s="291"/>
      <c r="K479" s="291"/>
      <c r="L479" s="291"/>
      <c r="M479" s="291"/>
      <c r="N479" s="291"/>
      <c r="O479" s="291"/>
      <c r="P479" s="291"/>
    </row>
    <row r="480" spans="1:16" ht="15">
      <c r="A480" s="291"/>
      <c r="B480" s="291"/>
      <c r="C480" s="291"/>
      <c r="D480" s="291"/>
      <c r="E480" s="291"/>
      <c r="F480" s="291"/>
      <c r="G480" s="293"/>
      <c r="H480" s="291"/>
      <c r="I480" s="291"/>
      <c r="J480" s="291"/>
      <c r="K480" s="291"/>
      <c r="L480" s="291"/>
      <c r="M480" s="291"/>
      <c r="N480" s="291"/>
      <c r="O480" s="291"/>
      <c r="P480" s="291"/>
    </row>
    <row r="481" spans="1:16" ht="15">
      <c r="A481" s="291"/>
      <c r="B481" s="291"/>
      <c r="C481" s="291"/>
      <c r="D481" s="291"/>
      <c r="E481" s="291"/>
      <c r="F481" s="291"/>
      <c r="G481" s="293"/>
      <c r="H481" s="291"/>
      <c r="I481" s="291"/>
      <c r="J481" s="291"/>
      <c r="K481" s="291"/>
      <c r="L481" s="291"/>
      <c r="M481" s="291"/>
      <c r="N481" s="291"/>
      <c r="O481" s="291"/>
      <c r="P481" s="291"/>
    </row>
    <row r="482" spans="1:16" ht="15">
      <c r="A482" s="291"/>
      <c r="B482" s="291"/>
      <c r="C482" s="291"/>
      <c r="D482" s="291"/>
      <c r="E482" s="291"/>
      <c r="F482" s="291"/>
      <c r="G482" s="293"/>
      <c r="H482" s="291"/>
      <c r="I482" s="291"/>
      <c r="J482" s="291"/>
      <c r="K482" s="291"/>
      <c r="L482" s="291"/>
      <c r="M482" s="291"/>
      <c r="N482" s="291"/>
      <c r="O482" s="291"/>
      <c r="P482" s="291"/>
    </row>
    <row r="483" spans="1:16" ht="15">
      <c r="A483" s="291"/>
      <c r="B483" s="291"/>
      <c r="C483" s="291"/>
      <c r="D483" s="291"/>
      <c r="E483" s="291"/>
      <c r="F483" s="291"/>
      <c r="G483" s="293"/>
      <c r="H483" s="291"/>
      <c r="I483" s="291"/>
      <c r="J483" s="291"/>
      <c r="K483" s="291"/>
      <c r="L483" s="291"/>
      <c r="M483" s="291"/>
      <c r="N483" s="291"/>
      <c r="O483" s="291"/>
      <c r="P483" s="291"/>
    </row>
    <row r="484" spans="1:16" ht="15">
      <c r="A484" s="291"/>
      <c r="B484" s="291"/>
      <c r="C484" s="291"/>
      <c r="D484" s="291"/>
      <c r="E484" s="291"/>
      <c r="F484" s="291"/>
      <c r="G484" s="293"/>
      <c r="H484" s="291"/>
      <c r="I484" s="291"/>
      <c r="J484" s="291"/>
      <c r="K484" s="291"/>
      <c r="L484" s="291"/>
      <c r="M484" s="291"/>
      <c r="N484" s="291"/>
      <c r="O484" s="291"/>
      <c r="P484" s="291"/>
    </row>
    <row r="485" spans="1:16" ht="15">
      <c r="A485" s="291"/>
      <c r="B485" s="291"/>
      <c r="C485" s="291"/>
      <c r="D485" s="291"/>
      <c r="E485" s="291"/>
      <c r="F485" s="291"/>
      <c r="G485" s="293"/>
      <c r="H485" s="291"/>
      <c r="I485" s="291"/>
      <c r="J485" s="291"/>
      <c r="K485" s="291"/>
      <c r="L485" s="291"/>
      <c r="M485" s="291"/>
      <c r="N485" s="291"/>
      <c r="O485" s="291"/>
      <c r="P485" s="291"/>
    </row>
    <row r="486" spans="1:16" ht="15">
      <c r="A486" s="291"/>
      <c r="B486" s="291"/>
      <c r="C486" s="291"/>
      <c r="D486" s="291"/>
      <c r="E486" s="291"/>
      <c r="F486" s="291"/>
      <c r="G486" s="293"/>
      <c r="H486" s="291"/>
      <c r="I486" s="291"/>
      <c r="J486" s="291"/>
      <c r="K486" s="291"/>
      <c r="L486" s="291"/>
      <c r="M486" s="291"/>
      <c r="N486" s="291"/>
      <c r="O486" s="291"/>
      <c r="P486" s="291"/>
    </row>
    <row r="487" spans="1:16" ht="15">
      <c r="A487" s="291"/>
      <c r="B487" s="291"/>
      <c r="C487" s="291"/>
      <c r="D487" s="291"/>
      <c r="E487" s="291"/>
      <c r="F487" s="291"/>
      <c r="G487" s="293"/>
      <c r="H487" s="291"/>
      <c r="I487" s="291"/>
      <c r="J487" s="291"/>
      <c r="K487" s="291"/>
      <c r="L487" s="291"/>
      <c r="M487" s="291"/>
      <c r="N487" s="291"/>
      <c r="O487" s="291"/>
      <c r="P487" s="291"/>
    </row>
    <row r="488" spans="1:16" ht="15">
      <c r="A488" s="291"/>
      <c r="B488" s="291"/>
      <c r="C488" s="291"/>
      <c r="D488" s="291"/>
      <c r="E488" s="291"/>
      <c r="F488" s="291"/>
      <c r="G488" s="293"/>
      <c r="H488" s="291"/>
      <c r="I488" s="291"/>
      <c r="J488" s="291"/>
      <c r="K488" s="291"/>
      <c r="L488" s="291"/>
      <c r="M488" s="291"/>
      <c r="N488" s="291"/>
      <c r="O488" s="291"/>
      <c r="P488" s="291"/>
    </row>
    <row r="489" spans="1:16" ht="15">
      <c r="A489" s="291"/>
      <c r="B489" s="291"/>
      <c r="C489" s="291"/>
      <c r="D489" s="291"/>
      <c r="E489" s="291"/>
      <c r="F489" s="291"/>
      <c r="G489" s="293"/>
      <c r="H489" s="291"/>
      <c r="I489" s="291"/>
      <c r="J489" s="291"/>
      <c r="K489" s="291"/>
      <c r="L489" s="291"/>
      <c r="M489" s="291"/>
      <c r="N489" s="291"/>
      <c r="O489" s="291"/>
      <c r="P489" s="291"/>
    </row>
    <row r="490" spans="1:16" ht="15">
      <c r="A490" s="291"/>
      <c r="B490" s="291"/>
      <c r="C490" s="291"/>
      <c r="D490" s="291"/>
      <c r="E490" s="291"/>
      <c r="F490" s="291"/>
      <c r="G490" s="293"/>
      <c r="H490" s="291"/>
      <c r="I490" s="291"/>
      <c r="J490" s="291"/>
      <c r="K490" s="291"/>
      <c r="L490" s="291"/>
      <c r="M490" s="291"/>
      <c r="N490" s="291"/>
      <c r="O490" s="291"/>
      <c r="P490" s="291"/>
    </row>
    <row r="491" spans="1:16" ht="15">
      <c r="A491" s="291"/>
      <c r="B491" s="291"/>
      <c r="C491" s="291"/>
      <c r="D491" s="291"/>
      <c r="E491" s="291"/>
      <c r="F491" s="291"/>
      <c r="G491" s="293"/>
      <c r="H491" s="291"/>
      <c r="I491" s="291"/>
      <c r="J491" s="291"/>
      <c r="K491" s="291"/>
      <c r="L491" s="291"/>
      <c r="M491" s="291"/>
      <c r="N491" s="291"/>
      <c r="O491" s="291"/>
      <c r="P491" s="291"/>
    </row>
    <row r="492" spans="1:16" ht="15">
      <c r="A492" s="291"/>
      <c r="B492" s="291"/>
      <c r="C492" s="291"/>
      <c r="D492" s="291"/>
      <c r="E492" s="291"/>
      <c r="F492" s="291"/>
      <c r="G492" s="293"/>
      <c r="H492" s="291"/>
      <c r="I492" s="291"/>
      <c r="J492" s="291"/>
      <c r="K492" s="291"/>
      <c r="L492" s="291"/>
      <c r="M492" s="291"/>
      <c r="N492" s="291"/>
      <c r="O492" s="291"/>
      <c r="P492" s="291"/>
    </row>
    <row r="493" spans="1:16" ht="15">
      <c r="A493" s="291"/>
      <c r="B493" s="291"/>
      <c r="C493" s="291"/>
      <c r="D493" s="291"/>
      <c r="E493" s="291"/>
      <c r="F493" s="291"/>
      <c r="G493" s="293"/>
      <c r="H493" s="291"/>
      <c r="I493" s="291"/>
      <c r="J493" s="291"/>
      <c r="K493" s="291"/>
      <c r="L493" s="291"/>
      <c r="M493" s="291"/>
      <c r="N493" s="291"/>
      <c r="O493" s="291"/>
      <c r="P493" s="291"/>
    </row>
    <row r="494" spans="1:16" ht="15">
      <c r="A494" s="291"/>
      <c r="B494" s="291"/>
      <c r="C494" s="291"/>
      <c r="D494" s="291"/>
      <c r="E494" s="291"/>
      <c r="F494" s="291"/>
      <c r="G494" s="293"/>
      <c r="H494" s="291"/>
      <c r="I494" s="291"/>
      <c r="J494" s="291"/>
      <c r="K494" s="291"/>
      <c r="L494" s="291"/>
      <c r="M494" s="291"/>
      <c r="N494" s="291"/>
      <c r="O494" s="291"/>
      <c r="P494" s="291"/>
    </row>
    <row r="495" spans="1:16" ht="15">
      <c r="A495" s="291"/>
      <c r="B495" s="291"/>
      <c r="C495" s="291"/>
      <c r="D495" s="291"/>
      <c r="E495" s="291"/>
      <c r="F495" s="291"/>
      <c r="G495" s="293"/>
      <c r="H495" s="291"/>
      <c r="I495" s="291"/>
      <c r="J495" s="291"/>
      <c r="K495" s="291"/>
      <c r="L495" s="291"/>
      <c r="M495" s="291"/>
      <c r="N495" s="291"/>
      <c r="O495" s="291"/>
      <c r="P495" s="291"/>
    </row>
    <row r="496" spans="1:16" ht="15">
      <c r="A496" s="291"/>
      <c r="B496" s="291"/>
      <c r="C496" s="291"/>
      <c r="D496" s="291"/>
      <c r="E496" s="291"/>
      <c r="F496" s="291"/>
      <c r="G496" s="293"/>
      <c r="H496" s="291"/>
      <c r="I496" s="291"/>
      <c r="J496" s="291"/>
      <c r="K496" s="291"/>
      <c r="L496" s="291"/>
      <c r="M496" s="291"/>
      <c r="N496" s="291"/>
      <c r="O496" s="291"/>
      <c r="P496" s="291"/>
    </row>
    <row r="497" spans="1:16" ht="15">
      <c r="A497" s="291"/>
      <c r="B497" s="291"/>
      <c r="C497" s="291"/>
      <c r="D497" s="291"/>
      <c r="E497" s="291"/>
      <c r="F497" s="291"/>
      <c r="G497" s="293"/>
      <c r="H497" s="291"/>
      <c r="I497" s="291"/>
      <c r="J497" s="291"/>
      <c r="K497" s="291"/>
      <c r="L497" s="291"/>
      <c r="M497" s="291"/>
      <c r="N497" s="291"/>
      <c r="O497" s="291"/>
      <c r="P497" s="291"/>
    </row>
    <row r="498" spans="1:16" ht="15">
      <c r="A498" s="291"/>
      <c r="B498" s="291"/>
      <c r="C498" s="291"/>
      <c r="D498" s="291"/>
      <c r="E498" s="291"/>
      <c r="F498" s="291"/>
      <c r="G498" s="293"/>
      <c r="H498" s="291"/>
      <c r="I498" s="291"/>
      <c r="J498" s="291"/>
      <c r="K498" s="291"/>
      <c r="L498" s="291"/>
      <c r="M498" s="291"/>
      <c r="N498" s="291"/>
      <c r="O498" s="291"/>
      <c r="P498" s="291"/>
    </row>
    <row r="499" spans="1:16" ht="15">
      <c r="A499" s="291"/>
      <c r="B499" s="291"/>
      <c r="C499" s="291"/>
      <c r="D499" s="291"/>
      <c r="E499" s="291"/>
      <c r="F499" s="291"/>
      <c r="G499" s="293"/>
      <c r="H499" s="291"/>
      <c r="I499" s="291"/>
      <c r="J499" s="291"/>
      <c r="K499" s="291"/>
      <c r="L499" s="291"/>
      <c r="M499" s="291"/>
      <c r="N499" s="291"/>
      <c r="O499" s="291"/>
      <c r="P499" s="291"/>
    </row>
    <row r="500" spans="1:16" ht="15">
      <c r="A500" s="291"/>
      <c r="B500" s="291"/>
      <c r="C500" s="291"/>
      <c r="D500" s="291"/>
      <c r="E500" s="291"/>
      <c r="F500" s="291"/>
      <c r="G500" s="293"/>
      <c r="H500" s="291"/>
      <c r="I500" s="291"/>
      <c r="J500" s="291"/>
      <c r="K500" s="291"/>
      <c r="L500" s="291"/>
      <c r="M500" s="291"/>
      <c r="N500" s="291"/>
      <c r="O500" s="291"/>
      <c r="P500" s="291"/>
    </row>
    <row r="501" spans="1:16" ht="15">
      <c r="A501" s="291"/>
      <c r="B501" s="291"/>
      <c r="C501" s="291"/>
      <c r="D501" s="291"/>
      <c r="E501" s="291"/>
      <c r="F501" s="291"/>
      <c r="G501" s="293"/>
      <c r="H501" s="291"/>
      <c r="I501" s="291"/>
      <c r="J501" s="291"/>
      <c r="K501" s="291"/>
      <c r="L501" s="291"/>
      <c r="M501" s="291"/>
      <c r="N501" s="291"/>
      <c r="O501" s="291"/>
      <c r="P501" s="291"/>
    </row>
    <row r="502" spans="1:16" ht="15">
      <c r="A502" s="291"/>
      <c r="B502" s="291"/>
      <c r="C502" s="291"/>
      <c r="D502" s="291"/>
      <c r="E502" s="291"/>
      <c r="F502" s="291"/>
      <c r="G502" s="293"/>
      <c r="H502" s="291"/>
      <c r="I502" s="291"/>
      <c r="J502" s="291"/>
      <c r="K502" s="291"/>
      <c r="L502" s="291"/>
      <c r="M502" s="291"/>
      <c r="N502" s="291"/>
      <c r="O502" s="291"/>
      <c r="P502" s="291"/>
    </row>
    <row r="503" spans="1:16" ht="15">
      <c r="A503" s="291"/>
      <c r="B503" s="291"/>
      <c r="C503" s="291"/>
      <c r="D503" s="291"/>
      <c r="E503" s="291"/>
      <c r="F503" s="291"/>
      <c r="G503" s="293"/>
      <c r="H503" s="291"/>
      <c r="I503" s="291"/>
      <c r="J503" s="291"/>
      <c r="K503" s="291"/>
      <c r="L503" s="291"/>
      <c r="M503" s="291"/>
      <c r="N503" s="291"/>
      <c r="O503" s="291"/>
      <c r="P503" s="291"/>
    </row>
    <row r="504" spans="1:16" ht="15">
      <c r="A504" s="291"/>
      <c r="B504" s="291"/>
      <c r="C504" s="291"/>
      <c r="D504" s="291"/>
      <c r="E504" s="291"/>
      <c r="F504" s="291"/>
      <c r="G504" s="293"/>
      <c r="H504" s="291"/>
      <c r="I504" s="291"/>
      <c r="J504" s="291"/>
      <c r="K504" s="291"/>
      <c r="L504" s="291"/>
      <c r="M504" s="291"/>
      <c r="N504" s="291"/>
      <c r="O504" s="291"/>
      <c r="P504" s="291"/>
    </row>
    <row r="505" spans="1:16" ht="15">
      <c r="A505" s="291"/>
      <c r="B505" s="291"/>
      <c r="C505" s="291"/>
      <c r="D505" s="291"/>
      <c r="E505" s="291"/>
      <c r="F505" s="291"/>
      <c r="G505" s="293"/>
      <c r="H505" s="291"/>
      <c r="I505" s="291"/>
      <c r="J505" s="291"/>
      <c r="K505" s="291"/>
      <c r="L505" s="291"/>
      <c r="M505" s="291"/>
      <c r="N505" s="291"/>
      <c r="O505" s="291"/>
      <c r="P505" s="291"/>
    </row>
    <row r="506" spans="1:16" ht="15">
      <c r="A506" s="291"/>
      <c r="B506" s="291"/>
      <c r="C506" s="291"/>
      <c r="D506" s="291"/>
      <c r="E506" s="291"/>
      <c r="F506" s="291"/>
      <c r="G506" s="293"/>
      <c r="H506" s="291"/>
      <c r="I506" s="291"/>
      <c r="J506" s="291"/>
      <c r="K506" s="291"/>
      <c r="L506" s="291"/>
      <c r="M506" s="291"/>
      <c r="N506" s="291"/>
      <c r="O506" s="291"/>
      <c r="P506" s="291"/>
    </row>
    <row r="507" spans="1:16" ht="15">
      <c r="A507" s="291"/>
      <c r="B507" s="291"/>
      <c r="C507" s="291"/>
      <c r="D507" s="291"/>
      <c r="E507" s="291"/>
      <c r="F507" s="291"/>
      <c r="G507" s="293"/>
      <c r="H507" s="291"/>
      <c r="I507" s="291"/>
      <c r="J507" s="291"/>
      <c r="K507" s="291"/>
      <c r="L507" s="291"/>
      <c r="M507" s="291"/>
      <c r="N507" s="291"/>
      <c r="O507" s="291"/>
      <c r="P507" s="291"/>
    </row>
    <row r="508" spans="1:16" ht="15">
      <c r="A508" s="291"/>
      <c r="B508" s="291"/>
      <c r="C508" s="291"/>
      <c r="D508" s="291"/>
      <c r="E508" s="291"/>
      <c r="F508" s="291"/>
      <c r="G508" s="293"/>
      <c r="H508" s="291"/>
      <c r="I508" s="291"/>
      <c r="J508" s="291"/>
      <c r="K508" s="291"/>
      <c r="L508" s="291"/>
      <c r="M508" s="291"/>
      <c r="N508" s="291"/>
      <c r="O508" s="291"/>
      <c r="P508" s="291"/>
    </row>
    <row r="509" spans="1:16" ht="15">
      <c r="A509" s="291"/>
      <c r="B509" s="291"/>
      <c r="C509" s="291"/>
      <c r="D509" s="291"/>
      <c r="E509" s="291"/>
      <c r="F509" s="291"/>
      <c r="G509" s="293"/>
      <c r="H509" s="291"/>
      <c r="I509" s="291"/>
      <c r="J509" s="291"/>
      <c r="K509" s="291"/>
      <c r="L509" s="291"/>
      <c r="M509" s="291"/>
      <c r="N509" s="291"/>
      <c r="O509" s="291"/>
      <c r="P509" s="291"/>
    </row>
    <row r="510" spans="1:16" ht="15">
      <c r="A510" s="291"/>
      <c r="B510" s="291"/>
      <c r="C510" s="291"/>
      <c r="D510" s="291"/>
      <c r="E510" s="291"/>
      <c r="F510" s="291"/>
      <c r="G510" s="293"/>
      <c r="H510" s="291"/>
      <c r="I510" s="291"/>
      <c r="J510" s="291"/>
      <c r="K510" s="291"/>
      <c r="L510" s="291"/>
      <c r="M510" s="291"/>
      <c r="N510" s="291"/>
      <c r="O510" s="291"/>
      <c r="P510" s="291"/>
    </row>
    <row r="511" spans="1:16" ht="15">
      <c r="A511" s="291"/>
      <c r="B511" s="291"/>
      <c r="C511" s="291"/>
      <c r="D511" s="291"/>
      <c r="E511" s="291"/>
      <c r="F511" s="291"/>
      <c r="G511" s="293"/>
      <c r="H511" s="291"/>
      <c r="I511" s="291"/>
      <c r="J511" s="291"/>
      <c r="K511" s="291"/>
      <c r="L511" s="291"/>
      <c r="M511" s="291"/>
      <c r="N511" s="291"/>
      <c r="O511" s="291"/>
      <c r="P511" s="291"/>
    </row>
    <row r="512" spans="1:16" ht="15">
      <c r="A512" s="291"/>
      <c r="B512" s="291"/>
      <c r="C512" s="291"/>
      <c r="D512" s="291"/>
      <c r="E512" s="291"/>
      <c r="F512" s="291"/>
      <c r="G512" s="293"/>
      <c r="H512" s="291"/>
      <c r="I512" s="291"/>
      <c r="J512" s="291"/>
      <c r="K512" s="291"/>
      <c r="L512" s="291"/>
      <c r="M512" s="291"/>
      <c r="N512" s="291"/>
      <c r="O512" s="291"/>
      <c r="P512" s="291"/>
    </row>
    <row r="513" spans="1:16" ht="15">
      <c r="A513" s="291"/>
      <c r="B513" s="291"/>
      <c r="C513" s="291"/>
      <c r="D513" s="291"/>
      <c r="E513" s="291"/>
      <c r="F513" s="291"/>
      <c r="G513" s="293"/>
      <c r="H513" s="291"/>
      <c r="I513" s="291"/>
      <c r="J513" s="291"/>
      <c r="K513" s="291"/>
      <c r="L513" s="291"/>
      <c r="M513" s="291"/>
      <c r="N513" s="291"/>
      <c r="O513" s="291"/>
      <c r="P513" s="291"/>
    </row>
    <row r="514" spans="1:16" ht="15">
      <c r="A514" s="291"/>
      <c r="B514" s="291"/>
      <c r="C514" s="291"/>
      <c r="D514" s="291"/>
      <c r="E514" s="291"/>
      <c r="F514" s="291"/>
      <c r="G514" s="293"/>
      <c r="H514" s="291"/>
      <c r="I514" s="291"/>
      <c r="J514" s="291"/>
      <c r="K514" s="291"/>
      <c r="L514" s="291"/>
      <c r="M514" s="291"/>
      <c r="N514" s="291"/>
      <c r="O514" s="291"/>
      <c r="P514" s="291"/>
    </row>
    <row r="515" spans="1:16" ht="15">
      <c r="A515" s="291"/>
      <c r="B515" s="291"/>
      <c r="C515" s="291"/>
      <c r="D515" s="291"/>
      <c r="E515" s="291"/>
      <c r="F515" s="291"/>
      <c r="G515" s="293"/>
      <c r="H515" s="291"/>
      <c r="I515" s="291"/>
      <c r="J515" s="291"/>
      <c r="K515" s="291"/>
      <c r="L515" s="291"/>
      <c r="M515" s="291"/>
      <c r="N515" s="291"/>
      <c r="O515" s="291"/>
      <c r="P515" s="291"/>
    </row>
    <row r="516" spans="1:16" ht="15">
      <c r="A516" s="291"/>
      <c r="B516" s="291"/>
      <c r="C516" s="291"/>
      <c r="D516" s="291"/>
      <c r="E516" s="291"/>
      <c r="F516" s="291"/>
      <c r="G516" s="293"/>
      <c r="H516" s="291"/>
      <c r="I516" s="291"/>
      <c r="J516" s="291"/>
      <c r="K516" s="291"/>
      <c r="L516" s="291"/>
      <c r="M516" s="291"/>
      <c r="N516" s="291"/>
      <c r="O516" s="291"/>
      <c r="P516" s="291"/>
    </row>
    <row r="517" spans="1:16" ht="15">
      <c r="A517" s="291"/>
      <c r="B517" s="291"/>
      <c r="C517" s="291"/>
      <c r="D517" s="291"/>
      <c r="E517" s="291"/>
      <c r="F517" s="291"/>
      <c r="G517" s="293"/>
      <c r="H517" s="291"/>
      <c r="I517" s="291"/>
      <c r="J517" s="291"/>
      <c r="K517" s="291"/>
      <c r="L517" s="291"/>
      <c r="M517" s="291"/>
      <c r="N517" s="291"/>
      <c r="O517" s="291"/>
      <c r="P517" s="291"/>
    </row>
    <row r="518" spans="1:16" ht="15">
      <c r="A518" s="291"/>
      <c r="B518" s="291"/>
      <c r="C518" s="291"/>
      <c r="D518" s="291"/>
      <c r="E518" s="291"/>
      <c r="F518" s="291"/>
      <c r="G518" s="293"/>
      <c r="H518" s="291"/>
      <c r="I518" s="291"/>
      <c r="J518" s="291"/>
      <c r="K518" s="291"/>
      <c r="L518" s="291"/>
      <c r="M518" s="291"/>
      <c r="N518" s="291"/>
      <c r="O518" s="291"/>
      <c r="P518" s="291"/>
    </row>
    <row r="519" spans="1:16" ht="15">
      <c r="A519" s="291"/>
      <c r="B519" s="291"/>
      <c r="C519" s="291"/>
      <c r="D519" s="291"/>
      <c r="E519" s="291"/>
      <c r="F519" s="291"/>
      <c r="G519" s="293"/>
      <c r="H519" s="291"/>
      <c r="I519" s="291"/>
      <c r="J519" s="291"/>
      <c r="K519" s="291"/>
      <c r="L519" s="291"/>
      <c r="M519" s="291"/>
      <c r="N519" s="291"/>
      <c r="O519" s="291"/>
      <c r="P519" s="291"/>
    </row>
    <row r="520" spans="1:16" ht="15">
      <c r="A520" s="291"/>
      <c r="B520" s="291"/>
      <c r="C520" s="291"/>
      <c r="D520" s="291"/>
      <c r="E520" s="291"/>
      <c r="F520" s="291"/>
      <c r="G520" s="293"/>
      <c r="H520" s="291"/>
      <c r="I520" s="291"/>
      <c r="J520" s="291"/>
      <c r="K520" s="291"/>
      <c r="L520" s="291"/>
      <c r="M520" s="291"/>
      <c r="N520" s="291"/>
      <c r="O520" s="291"/>
      <c r="P520" s="291"/>
    </row>
    <row r="521" spans="1:16" ht="15">
      <c r="A521" s="291"/>
      <c r="B521" s="291"/>
      <c r="C521" s="291"/>
      <c r="D521" s="291"/>
      <c r="E521" s="291"/>
      <c r="F521" s="291"/>
      <c r="G521" s="293"/>
      <c r="H521" s="291"/>
      <c r="I521" s="291"/>
      <c r="J521" s="291"/>
      <c r="K521" s="291"/>
      <c r="L521" s="291"/>
      <c r="M521" s="291"/>
      <c r="N521" s="291"/>
      <c r="O521" s="291"/>
      <c r="P521" s="291"/>
    </row>
    <row r="522" spans="1:16" ht="15">
      <c r="A522" s="291"/>
      <c r="B522" s="291"/>
      <c r="C522" s="291"/>
      <c r="D522" s="291"/>
      <c r="E522" s="291"/>
      <c r="F522" s="291"/>
      <c r="G522" s="293"/>
      <c r="H522" s="291"/>
      <c r="I522" s="291"/>
      <c r="J522" s="291"/>
      <c r="K522" s="291"/>
      <c r="L522" s="291"/>
      <c r="M522" s="291"/>
      <c r="N522" s="291"/>
      <c r="O522" s="291"/>
      <c r="P522" s="291"/>
    </row>
    <row r="523" spans="1:16" ht="15">
      <c r="A523" s="291"/>
      <c r="B523" s="291"/>
      <c r="C523" s="291"/>
      <c r="D523" s="291"/>
      <c r="E523" s="291"/>
      <c r="F523" s="291"/>
      <c r="G523" s="293"/>
      <c r="H523" s="291"/>
      <c r="I523" s="291"/>
      <c r="J523" s="291"/>
      <c r="K523" s="291"/>
      <c r="L523" s="291"/>
      <c r="M523" s="291"/>
      <c r="N523" s="291"/>
      <c r="O523" s="291"/>
      <c r="P523" s="291"/>
    </row>
    <row r="524" spans="1:16" ht="15">
      <c r="A524" s="291"/>
      <c r="B524" s="291"/>
      <c r="C524" s="291"/>
      <c r="D524" s="291"/>
      <c r="E524" s="291"/>
      <c r="F524" s="291"/>
      <c r="G524" s="293"/>
      <c r="H524" s="291"/>
      <c r="I524" s="291"/>
      <c r="J524" s="291"/>
      <c r="K524" s="291"/>
      <c r="L524" s="291"/>
      <c r="M524" s="291"/>
      <c r="N524" s="291"/>
      <c r="O524" s="291"/>
      <c r="P524" s="291"/>
    </row>
    <row r="525" spans="1:16" ht="15">
      <c r="A525" s="291"/>
      <c r="B525" s="291"/>
      <c r="C525" s="291"/>
      <c r="D525" s="291"/>
      <c r="E525" s="291"/>
      <c r="F525" s="291"/>
      <c r="G525" s="293"/>
      <c r="H525" s="291"/>
      <c r="I525" s="291"/>
      <c r="J525" s="291"/>
      <c r="K525" s="291"/>
      <c r="L525" s="291"/>
      <c r="M525" s="291"/>
      <c r="N525" s="291"/>
      <c r="O525" s="291"/>
      <c r="P525" s="291"/>
    </row>
    <row r="526" spans="1:16" ht="15">
      <c r="A526" s="291"/>
      <c r="B526" s="291"/>
      <c r="C526" s="291"/>
      <c r="D526" s="291"/>
      <c r="E526" s="291"/>
      <c r="F526" s="291"/>
      <c r="G526" s="293"/>
      <c r="H526" s="291"/>
      <c r="I526" s="291"/>
      <c r="J526" s="291"/>
      <c r="K526" s="291"/>
      <c r="L526" s="291"/>
      <c r="M526" s="291"/>
      <c r="N526" s="291"/>
      <c r="O526" s="291"/>
      <c r="P526" s="291"/>
    </row>
    <row r="527" spans="1:16" ht="15">
      <c r="A527" s="291"/>
      <c r="B527" s="291"/>
      <c r="C527" s="291"/>
      <c r="D527" s="291"/>
      <c r="E527" s="291"/>
      <c r="F527" s="291"/>
      <c r="G527" s="293"/>
      <c r="H527" s="291"/>
      <c r="I527" s="291"/>
      <c r="J527" s="291"/>
      <c r="K527" s="291"/>
      <c r="L527" s="291"/>
      <c r="M527" s="291"/>
      <c r="N527" s="291"/>
      <c r="O527" s="291"/>
      <c r="P527" s="291"/>
    </row>
    <row r="528" spans="1:16" ht="15">
      <c r="A528" s="291"/>
      <c r="B528" s="291"/>
      <c r="C528" s="291"/>
      <c r="D528" s="291"/>
      <c r="E528" s="291"/>
      <c r="F528" s="291"/>
      <c r="G528" s="293"/>
      <c r="H528" s="291"/>
      <c r="I528" s="291"/>
      <c r="J528" s="291"/>
      <c r="K528" s="291"/>
      <c r="L528" s="291"/>
      <c r="M528" s="291"/>
      <c r="N528" s="291"/>
      <c r="O528" s="291"/>
      <c r="P528" s="291"/>
    </row>
    <row r="529" spans="1:16" ht="15">
      <c r="A529" s="291"/>
      <c r="B529" s="291"/>
      <c r="C529" s="291"/>
      <c r="D529" s="291"/>
      <c r="E529" s="291"/>
      <c r="F529" s="291"/>
      <c r="G529" s="293"/>
      <c r="H529" s="291"/>
      <c r="I529" s="291"/>
      <c r="J529" s="291"/>
      <c r="K529" s="291"/>
      <c r="L529" s="291"/>
      <c r="M529" s="291"/>
      <c r="N529" s="291"/>
      <c r="O529" s="291"/>
      <c r="P529" s="291"/>
    </row>
    <row r="530" spans="1:16" ht="15">
      <c r="A530" s="291"/>
      <c r="B530" s="291"/>
      <c r="C530" s="291"/>
      <c r="D530" s="291"/>
      <c r="E530" s="291"/>
      <c r="F530" s="291"/>
      <c r="G530" s="293"/>
      <c r="H530" s="291"/>
      <c r="I530" s="291"/>
      <c r="J530" s="291"/>
      <c r="K530" s="291"/>
      <c r="L530" s="291"/>
      <c r="M530" s="291"/>
      <c r="N530" s="291"/>
      <c r="O530" s="291"/>
      <c r="P530" s="291"/>
    </row>
    <row r="531" spans="1:16" ht="15">
      <c r="A531" s="291"/>
      <c r="B531" s="291"/>
      <c r="C531" s="291"/>
      <c r="D531" s="291"/>
      <c r="E531" s="291"/>
      <c r="F531" s="291"/>
      <c r="G531" s="293"/>
      <c r="H531" s="291"/>
      <c r="I531" s="291"/>
      <c r="J531" s="291"/>
      <c r="K531" s="291"/>
      <c r="L531" s="291"/>
      <c r="M531" s="291"/>
      <c r="N531" s="291"/>
      <c r="O531" s="291"/>
      <c r="P531" s="291"/>
    </row>
    <row r="532" spans="1:16" ht="15">
      <c r="A532" s="291"/>
      <c r="B532" s="291"/>
      <c r="C532" s="291"/>
      <c r="D532" s="291"/>
      <c r="E532" s="291"/>
      <c r="F532" s="291"/>
      <c r="G532" s="293"/>
      <c r="H532" s="291"/>
      <c r="I532" s="291"/>
      <c r="J532" s="291"/>
      <c r="K532" s="291"/>
      <c r="L532" s="291"/>
      <c r="M532" s="291"/>
      <c r="N532" s="291"/>
      <c r="O532" s="291"/>
      <c r="P532" s="291"/>
    </row>
    <row r="533" spans="1:16" ht="15">
      <c r="A533" s="291"/>
      <c r="B533" s="291"/>
      <c r="C533" s="291"/>
      <c r="D533" s="291"/>
      <c r="E533" s="291"/>
      <c r="F533" s="291"/>
      <c r="G533" s="293"/>
      <c r="H533" s="291"/>
      <c r="I533" s="291"/>
      <c r="J533" s="291"/>
      <c r="K533" s="291"/>
      <c r="L533" s="291"/>
      <c r="M533" s="291"/>
      <c r="N533" s="291"/>
      <c r="O533" s="291"/>
      <c r="P533" s="291"/>
    </row>
    <row r="534" spans="1:16" ht="15">
      <c r="A534" s="291"/>
      <c r="B534" s="291"/>
      <c r="C534" s="291"/>
      <c r="D534" s="291"/>
      <c r="E534" s="291"/>
      <c r="F534" s="291"/>
      <c r="G534" s="293"/>
      <c r="H534" s="291"/>
      <c r="I534" s="291"/>
      <c r="J534" s="291"/>
      <c r="K534" s="291"/>
      <c r="L534" s="291"/>
      <c r="M534" s="291"/>
      <c r="N534" s="291"/>
      <c r="O534" s="291"/>
      <c r="P534" s="291"/>
    </row>
    <row r="535" spans="1:16" ht="15">
      <c r="A535" s="291"/>
      <c r="B535" s="291"/>
      <c r="C535" s="291"/>
      <c r="D535" s="291"/>
      <c r="E535" s="291"/>
      <c r="F535" s="291"/>
      <c r="G535" s="293"/>
      <c r="H535" s="291"/>
      <c r="I535" s="291"/>
      <c r="J535" s="291"/>
      <c r="K535" s="291"/>
      <c r="L535" s="291"/>
      <c r="M535" s="291"/>
      <c r="N535" s="291"/>
      <c r="O535" s="291"/>
      <c r="P535" s="291"/>
    </row>
    <row r="536" spans="1:16" ht="15">
      <c r="A536" s="291"/>
      <c r="B536" s="291"/>
      <c r="C536" s="291"/>
      <c r="D536" s="291"/>
      <c r="E536" s="291"/>
      <c r="F536" s="291"/>
      <c r="G536" s="293"/>
      <c r="H536" s="291"/>
      <c r="I536" s="291"/>
      <c r="J536" s="291"/>
      <c r="K536" s="291"/>
      <c r="L536" s="291"/>
      <c r="M536" s="291"/>
      <c r="N536" s="291"/>
      <c r="O536" s="291"/>
      <c r="P536" s="291"/>
    </row>
    <row r="537" spans="1:16" ht="15">
      <c r="A537" s="291"/>
      <c r="B537" s="291"/>
      <c r="C537" s="291"/>
      <c r="D537" s="291"/>
      <c r="E537" s="291"/>
      <c r="F537" s="291"/>
      <c r="G537" s="293"/>
      <c r="H537" s="291"/>
      <c r="I537" s="291"/>
      <c r="J537" s="291"/>
      <c r="K537" s="291"/>
      <c r="L537" s="291"/>
      <c r="M537" s="291"/>
      <c r="N537" s="291"/>
      <c r="O537" s="291"/>
      <c r="P537" s="291"/>
    </row>
    <row r="538" spans="1:16" ht="15">
      <c r="A538" s="291"/>
      <c r="B538" s="291"/>
      <c r="C538" s="291"/>
      <c r="D538" s="291"/>
      <c r="E538" s="291"/>
      <c r="F538" s="291"/>
      <c r="G538" s="293"/>
      <c r="H538" s="291"/>
      <c r="I538" s="291"/>
      <c r="J538" s="291"/>
      <c r="K538" s="291"/>
      <c r="L538" s="291"/>
      <c r="M538" s="291"/>
      <c r="N538" s="291"/>
      <c r="O538" s="291"/>
      <c r="P538" s="291"/>
    </row>
    <row r="539" spans="1:16" ht="15">
      <c r="A539" s="291"/>
      <c r="B539" s="291"/>
      <c r="C539" s="291"/>
      <c r="D539" s="291"/>
      <c r="E539" s="291"/>
      <c r="F539" s="291"/>
      <c r="G539" s="293"/>
      <c r="H539" s="291"/>
      <c r="I539" s="291"/>
      <c r="J539" s="291"/>
      <c r="K539" s="291"/>
      <c r="L539" s="291"/>
      <c r="M539" s="291"/>
      <c r="N539" s="291"/>
      <c r="O539" s="291"/>
      <c r="P539" s="291"/>
    </row>
    <row r="540" spans="1:16" ht="15">
      <c r="A540" s="291"/>
      <c r="B540" s="291"/>
      <c r="C540" s="291"/>
      <c r="D540" s="291"/>
      <c r="E540" s="291"/>
      <c r="F540" s="291"/>
      <c r="G540" s="293"/>
      <c r="H540" s="291"/>
      <c r="I540" s="291"/>
      <c r="J540" s="291"/>
      <c r="K540" s="291"/>
      <c r="L540" s="291"/>
      <c r="M540" s="291"/>
      <c r="N540" s="291"/>
      <c r="O540" s="291"/>
      <c r="P540" s="291"/>
    </row>
    <row r="541" spans="1:16" ht="15">
      <c r="A541" s="291"/>
      <c r="B541" s="291"/>
      <c r="C541" s="291"/>
      <c r="D541" s="291"/>
      <c r="E541" s="291"/>
      <c r="F541" s="291"/>
      <c r="G541" s="293"/>
      <c r="H541" s="291"/>
      <c r="I541" s="291"/>
      <c r="J541" s="291"/>
      <c r="K541" s="291"/>
      <c r="L541" s="291"/>
      <c r="M541" s="291"/>
      <c r="N541" s="291"/>
      <c r="O541" s="291"/>
      <c r="P541" s="291"/>
    </row>
    <row r="542" spans="1:16" ht="15">
      <c r="A542" s="291"/>
      <c r="B542" s="291"/>
      <c r="C542" s="291"/>
      <c r="D542" s="291"/>
      <c r="E542" s="291"/>
      <c r="F542" s="291"/>
      <c r="G542" s="293"/>
      <c r="H542" s="291"/>
      <c r="I542" s="291"/>
      <c r="J542" s="291"/>
      <c r="K542" s="291"/>
      <c r="L542" s="291"/>
      <c r="M542" s="291"/>
      <c r="N542" s="291"/>
      <c r="O542" s="291"/>
      <c r="P542" s="291"/>
    </row>
    <row r="543" spans="1:16" ht="15">
      <c r="A543" s="291"/>
      <c r="B543" s="291"/>
      <c r="C543" s="291"/>
      <c r="D543" s="291"/>
      <c r="E543" s="291"/>
      <c r="F543" s="291"/>
      <c r="G543" s="293"/>
      <c r="H543" s="291"/>
      <c r="I543" s="291"/>
      <c r="J543" s="291"/>
      <c r="K543" s="291"/>
      <c r="L543" s="291"/>
      <c r="M543" s="291"/>
      <c r="N543" s="291"/>
      <c r="O543" s="291"/>
      <c r="P543" s="291"/>
    </row>
    <row r="544" spans="1:16" ht="15">
      <c r="A544" s="291"/>
      <c r="B544" s="291"/>
      <c r="C544" s="291"/>
      <c r="D544" s="291"/>
      <c r="E544" s="291"/>
      <c r="F544" s="291"/>
      <c r="G544" s="293"/>
      <c r="H544" s="291"/>
      <c r="I544" s="291"/>
      <c r="J544" s="291"/>
      <c r="K544" s="291"/>
      <c r="L544" s="291"/>
      <c r="M544" s="291"/>
      <c r="N544" s="291"/>
      <c r="O544" s="291"/>
      <c r="P544" s="291"/>
    </row>
    <row r="545" spans="1:16" ht="15">
      <c r="A545" s="291"/>
      <c r="B545" s="291"/>
      <c r="C545" s="291"/>
      <c r="D545" s="291"/>
      <c r="E545" s="291"/>
      <c r="F545" s="291"/>
      <c r="G545" s="293"/>
      <c r="H545" s="291"/>
      <c r="I545" s="291"/>
      <c r="J545" s="291"/>
      <c r="K545" s="291"/>
      <c r="L545" s="291"/>
      <c r="M545" s="291"/>
      <c r="N545" s="291"/>
      <c r="O545" s="291"/>
      <c r="P545" s="291"/>
    </row>
    <row r="546" spans="1:16" ht="15">
      <c r="A546" s="291"/>
      <c r="B546" s="291"/>
      <c r="C546" s="291"/>
      <c r="D546" s="291"/>
      <c r="E546" s="291"/>
      <c r="F546" s="291"/>
      <c r="G546" s="293"/>
      <c r="H546" s="291"/>
      <c r="I546" s="291"/>
      <c r="J546" s="291"/>
      <c r="K546" s="291"/>
      <c r="L546" s="291"/>
      <c r="M546" s="291"/>
      <c r="N546" s="291"/>
      <c r="O546" s="291"/>
      <c r="P546" s="291"/>
    </row>
    <row r="547" spans="1:16" ht="15">
      <c r="A547" s="291"/>
      <c r="B547" s="291"/>
      <c r="C547" s="291"/>
      <c r="D547" s="291"/>
      <c r="E547" s="291"/>
      <c r="F547" s="291"/>
      <c r="G547" s="293"/>
      <c r="H547" s="291"/>
      <c r="I547" s="291"/>
      <c r="J547" s="291"/>
      <c r="K547" s="291"/>
      <c r="L547" s="291"/>
      <c r="M547" s="291"/>
      <c r="N547" s="291"/>
      <c r="O547" s="291"/>
      <c r="P547" s="291"/>
    </row>
    <row r="548" spans="1:16" ht="15">
      <c r="A548" s="291"/>
      <c r="B548" s="291"/>
      <c r="C548" s="291"/>
      <c r="D548" s="291"/>
      <c r="E548" s="291"/>
      <c r="F548" s="291"/>
      <c r="G548" s="293"/>
      <c r="H548" s="291"/>
      <c r="I548" s="291"/>
      <c r="J548" s="291"/>
      <c r="K548" s="291"/>
      <c r="L548" s="291"/>
      <c r="M548" s="291"/>
      <c r="N548" s="291"/>
      <c r="O548" s="291"/>
      <c r="P548" s="291"/>
    </row>
    <row r="549" spans="1:16" ht="15">
      <c r="A549" s="291"/>
      <c r="B549" s="291"/>
      <c r="C549" s="291"/>
      <c r="D549" s="291"/>
      <c r="E549" s="291"/>
      <c r="F549" s="291"/>
      <c r="G549" s="293"/>
      <c r="H549" s="291"/>
      <c r="I549" s="291"/>
      <c r="J549" s="291"/>
      <c r="K549" s="291"/>
      <c r="L549" s="291"/>
      <c r="M549" s="291"/>
      <c r="N549" s="291"/>
      <c r="O549" s="291"/>
      <c r="P549" s="291"/>
    </row>
    <row r="550" spans="1:16" ht="15">
      <c r="A550" s="291"/>
      <c r="B550" s="291"/>
      <c r="C550" s="291"/>
      <c r="D550" s="291"/>
      <c r="E550" s="291"/>
      <c r="F550" s="291"/>
      <c r="G550" s="293"/>
      <c r="H550" s="291"/>
      <c r="I550" s="291"/>
      <c r="J550" s="291"/>
      <c r="K550" s="291"/>
      <c r="L550" s="291"/>
      <c r="M550" s="291"/>
      <c r="N550" s="291"/>
      <c r="O550" s="291"/>
      <c r="P550" s="291"/>
    </row>
    <row r="551" spans="1:16" ht="15">
      <c r="A551" s="291"/>
      <c r="B551" s="291"/>
      <c r="C551" s="291"/>
      <c r="D551" s="291"/>
      <c r="E551" s="291"/>
      <c r="F551" s="291"/>
      <c r="G551" s="293"/>
      <c r="H551" s="291"/>
      <c r="I551" s="291"/>
      <c r="J551" s="291"/>
      <c r="K551" s="291"/>
      <c r="L551" s="291"/>
      <c r="M551" s="291"/>
      <c r="N551" s="291"/>
      <c r="O551" s="291"/>
      <c r="P551" s="291"/>
    </row>
    <row r="552" spans="1:16" ht="15">
      <c r="A552" s="291"/>
      <c r="B552" s="291"/>
      <c r="C552" s="291"/>
      <c r="D552" s="291"/>
      <c r="E552" s="291"/>
      <c r="F552" s="291"/>
      <c r="G552" s="293"/>
      <c r="H552" s="291"/>
      <c r="I552" s="291"/>
      <c r="J552" s="291"/>
      <c r="K552" s="291"/>
      <c r="L552" s="291"/>
      <c r="M552" s="291"/>
      <c r="N552" s="291"/>
      <c r="O552" s="291"/>
      <c r="P552" s="291"/>
    </row>
    <row r="553" spans="1:16" ht="15">
      <c r="A553" s="291"/>
      <c r="B553" s="291"/>
      <c r="C553" s="291"/>
      <c r="D553" s="291"/>
      <c r="E553" s="291"/>
      <c r="F553" s="291"/>
      <c r="G553" s="293"/>
      <c r="H553" s="291"/>
      <c r="I553" s="291"/>
      <c r="J553" s="291"/>
      <c r="K553" s="291"/>
      <c r="L553" s="291"/>
      <c r="M553" s="291"/>
      <c r="N553" s="291"/>
      <c r="O553" s="291"/>
      <c r="P553" s="291"/>
    </row>
    <row r="554" spans="1:16" ht="15">
      <c r="A554" s="291"/>
      <c r="B554" s="291"/>
      <c r="C554" s="291"/>
      <c r="D554" s="291"/>
      <c r="E554" s="291"/>
      <c r="F554" s="291"/>
      <c r="G554" s="293"/>
      <c r="H554" s="291"/>
      <c r="I554" s="291"/>
      <c r="J554" s="291"/>
      <c r="K554" s="291"/>
      <c r="L554" s="291"/>
      <c r="M554" s="291"/>
      <c r="N554" s="291"/>
      <c r="O554" s="291"/>
      <c r="P554" s="291"/>
    </row>
    <row r="555" spans="1:16" ht="15">
      <c r="A555" s="291"/>
      <c r="B555" s="291"/>
      <c r="C555" s="291"/>
      <c r="D555" s="291"/>
      <c r="E555" s="291"/>
      <c r="F555" s="291"/>
      <c r="G555" s="293"/>
      <c r="H555" s="291"/>
      <c r="I555" s="291"/>
      <c r="J555" s="291"/>
      <c r="K555" s="291"/>
      <c r="L555" s="291"/>
      <c r="M555" s="291"/>
      <c r="N555" s="291"/>
      <c r="O555" s="291"/>
      <c r="P555" s="291"/>
    </row>
    <row r="556" spans="1:16" ht="15">
      <c r="A556" s="291"/>
      <c r="B556" s="291"/>
      <c r="C556" s="291"/>
      <c r="D556" s="291"/>
      <c r="E556" s="291"/>
      <c r="F556" s="291"/>
      <c r="G556" s="293"/>
      <c r="H556" s="291"/>
      <c r="I556" s="291"/>
      <c r="J556" s="291"/>
      <c r="K556" s="291"/>
      <c r="L556" s="291"/>
      <c r="M556" s="291"/>
      <c r="N556" s="291"/>
      <c r="O556" s="291"/>
      <c r="P556" s="291"/>
    </row>
    <row r="557" spans="1:16" ht="15">
      <c r="A557" s="291"/>
      <c r="B557" s="291"/>
      <c r="C557" s="291"/>
      <c r="D557" s="291"/>
      <c r="E557" s="291"/>
      <c r="F557" s="291"/>
      <c r="G557" s="293"/>
      <c r="H557" s="291"/>
      <c r="I557" s="291"/>
      <c r="J557" s="291"/>
      <c r="K557" s="291"/>
      <c r="L557" s="291"/>
      <c r="M557" s="291"/>
      <c r="N557" s="291"/>
      <c r="O557" s="291"/>
      <c r="P557" s="291"/>
    </row>
    <row r="558" spans="1:16" ht="15">
      <c r="A558" s="291"/>
      <c r="B558" s="291"/>
      <c r="C558" s="291"/>
      <c r="D558" s="291"/>
      <c r="E558" s="291"/>
      <c r="F558" s="291"/>
      <c r="G558" s="293"/>
      <c r="H558" s="291"/>
      <c r="I558" s="291"/>
      <c r="J558" s="291"/>
      <c r="K558" s="291"/>
      <c r="L558" s="291"/>
      <c r="M558" s="291"/>
      <c r="N558" s="291"/>
      <c r="O558" s="291"/>
      <c r="P558" s="291"/>
    </row>
    <row r="559" spans="1:16" ht="15">
      <c r="A559" s="291"/>
      <c r="B559" s="291"/>
      <c r="C559" s="291"/>
      <c r="D559" s="291"/>
      <c r="E559" s="291"/>
      <c r="F559" s="291"/>
      <c r="G559" s="293"/>
      <c r="H559" s="291"/>
      <c r="I559" s="291"/>
      <c r="J559" s="291"/>
      <c r="K559" s="291"/>
      <c r="L559" s="291"/>
      <c r="M559" s="291"/>
      <c r="N559" s="291"/>
      <c r="O559" s="291"/>
      <c r="P559" s="291"/>
    </row>
    <row r="560" spans="1:16" ht="15">
      <c r="A560" s="291"/>
      <c r="B560" s="291"/>
      <c r="C560" s="291"/>
      <c r="D560" s="291"/>
      <c r="E560" s="291"/>
      <c r="F560" s="291"/>
      <c r="G560" s="293"/>
      <c r="H560" s="291"/>
      <c r="I560" s="291"/>
      <c r="J560" s="291"/>
      <c r="K560" s="291"/>
      <c r="L560" s="291"/>
      <c r="M560" s="291"/>
      <c r="N560" s="291"/>
      <c r="O560" s="291"/>
      <c r="P560" s="291"/>
    </row>
    <row r="561" spans="1:16" ht="15">
      <c r="A561" s="291"/>
      <c r="B561" s="291"/>
      <c r="C561" s="291"/>
      <c r="D561" s="291"/>
      <c r="E561" s="291"/>
      <c r="F561" s="291"/>
      <c r="G561" s="293"/>
      <c r="H561" s="291"/>
      <c r="I561" s="291"/>
      <c r="J561" s="291"/>
      <c r="K561" s="291"/>
      <c r="L561" s="291"/>
      <c r="M561" s="291"/>
      <c r="N561" s="291"/>
      <c r="O561" s="291"/>
      <c r="P561" s="291"/>
    </row>
    <row r="562" spans="1:16" ht="15">
      <c r="A562" s="291"/>
      <c r="B562" s="291"/>
      <c r="C562" s="291"/>
      <c r="D562" s="291"/>
      <c r="E562" s="291"/>
      <c r="F562" s="291"/>
      <c r="G562" s="293"/>
      <c r="H562" s="291"/>
      <c r="I562" s="291"/>
      <c r="J562" s="291"/>
      <c r="K562" s="291"/>
      <c r="L562" s="291"/>
      <c r="M562" s="291"/>
      <c r="N562" s="291"/>
      <c r="O562" s="291"/>
      <c r="P562" s="291"/>
    </row>
    <row r="563" spans="1:16" ht="15">
      <c r="A563" s="291"/>
      <c r="B563" s="291"/>
      <c r="C563" s="291"/>
      <c r="D563" s="291"/>
      <c r="E563" s="291"/>
      <c r="F563" s="291"/>
      <c r="G563" s="293"/>
      <c r="H563" s="291"/>
      <c r="I563" s="291"/>
      <c r="J563" s="291"/>
      <c r="K563" s="291"/>
      <c r="L563" s="291"/>
      <c r="M563" s="291"/>
      <c r="N563" s="291"/>
      <c r="O563" s="291"/>
      <c r="P563" s="291"/>
    </row>
    <row r="564" spans="1:16" ht="15">
      <c r="A564" s="291"/>
      <c r="B564" s="291"/>
      <c r="C564" s="291"/>
      <c r="D564" s="291"/>
      <c r="E564" s="291"/>
      <c r="F564" s="291"/>
      <c r="G564" s="293"/>
      <c r="H564" s="291"/>
      <c r="I564" s="291"/>
      <c r="J564" s="291"/>
      <c r="K564" s="291"/>
      <c r="L564" s="291"/>
      <c r="M564" s="291"/>
      <c r="N564" s="291"/>
      <c r="O564" s="291"/>
      <c r="P564" s="291"/>
    </row>
    <row r="565" spans="1:16" ht="15">
      <c r="A565" s="291"/>
      <c r="B565" s="291"/>
      <c r="C565" s="291"/>
      <c r="D565" s="291"/>
      <c r="E565" s="291"/>
      <c r="F565" s="291"/>
      <c r="G565" s="293"/>
      <c r="H565" s="291"/>
      <c r="I565" s="291"/>
      <c r="J565" s="291"/>
      <c r="K565" s="291"/>
      <c r="L565" s="291"/>
      <c r="M565" s="291"/>
      <c r="N565" s="291"/>
      <c r="O565" s="291"/>
      <c r="P565" s="291"/>
    </row>
    <row r="566" spans="1:16" ht="15">
      <c r="A566" s="291"/>
      <c r="B566" s="291"/>
      <c r="C566" s="291"/>
      <c r="D566" s="291"/>
      <c r="E566" s="291"/>
      <c r="F566" s="291"/>
      <c r="G566" s="293"/>
      <c r="H566" s="291"/>
      <c r="I566" s="291"/>
      <c r="J566" s="291"/>
      <c r="K566" s="291"/>
      <c r="L566" s="291"/>
      <c r="M566" s="291"/>
      <c r="N566" s="291"/>
      <c r="O566" s="291"/>
      <c r="P566" s="291"/>
    </row>
    <row r="567" spans="1:16" ht="15">
      <c r="A567" s="291"/>
      <c r="B567" s="291"/>
      <c r="C567" s="291"/>
      <c r="D567" s="291"/>
      <c r="E567" s="291"/>
      <c r="F567" s="291"/>
      <c r="G567" s="293"/>
      <c r="H567" s="291"/>
      <c r="I567" s="291"/>
      <c r="J567" s="291"/>
      <c r="K567" s="291"/>
      <c r="L567" s="291"/>
      <c r="M567" s="291"/>
      <c r="N567" s="291"/>
      <c r="O567" s="291"/>
      <c r="P567" s="291"/>
    </row>
    <row r="568" spans="1:16" ht="15">
      <c r="A568" s="291"/>
      <c r="B568" s="291"/>
      <c r="C568" s="291"/>
      <c r="D568" s="291"/>
      <c r="E568" s="291"/>
      <c r="F568" s="291"/>
      <c r="G568" s="293"/>
      <c r="H568" s="291"/>
      <c r="I568" s="291"/>
      <c r="J568" s="291"/>
      <c r="K568" s="291"/>
      <c r="L568" s="291"/>
      <c r="M568" s="291"/>
      <c r="N568" s="291"/>
      <c r="O568" s="291"/>
      <c r="P568" s="291"/>
    </row>
    <row r="569" spans="1:16" ht="15">
      <c r="A569" s="291"/>
      <c r="B569" s="291"/>
      <c r="C569" s="291"/>
      <c r="D569" s="291"/>
      <c r="E569" s="291"/>
      <c r="F569" s="291"/>
      <c r="G569" s="293"/>
      <c r="H569" s="291"/>
      <c r="I569" s="291"/>
      <c r="J569" s="291"/>
      <c r="K569" s="291"/>
      <c r="L569" s="291"/>
      <c r="M569" s="291"/>
      <c r="N569" s="291"/>
      <c r="O569" s="291"/>
      <c r="P569" s="291"/>
    </row>
    <row r="570" spans="1:16" ht="15">
      <c r="A570" s="291"/>
      <c r="B570" s="291"/>
      <c r="C570" s="291"/>
      <c r="D570" s="291"/>
      <c r="E570" s="291"/>
      <c r="F570" s="291"/>
      <c r="G570" s="293"/>
      <c r="H570" s="291"/>
      <c r="I570" s="291"/>
      <c r="J570" s="291"/>
      <c r="K570" s="291"/>
      <c r="L570" s="291"/>
      <c r="M570" s="291"/>
      <c r="N570" s="291"/>
      <c r="O570" s="291"/>
      <c r="P570" s="291"/>
    </row>
    <row r="571" spans="1:16" ht="15">
      <c r="A571" s="291"/>
      <c r="B571" s="291"/>
      <c r="C571" s="291"/>
      <c r="D571" s="291"/>
      <c r="E571" s="291"/>
      <c r="F571" s="291"/>
      <c r="G571" s="293"/>
      <c r="H571" s="291"/>
      <c r="I571" s="291"/>
      <c r="J571" s="291"/>
      <c r="K571" s="291"/>
      <c r="L571" s="291"/>
      <c r="M571" s="291"/>
      <c r="N571" s="291"/>
      <c r="O571" s="291"/>
      <c r="P571" s="291"/>
    </row>
    <row r="572" spans="1:16" ht="15">
      <c r="A572" s="291"/>
      <c r="B572" s="291"/>
      <c r="C572" s="291"/>
      <c r="D572" s="291"/>
      <c r="E572" s="291"/>
      <c r="F572" s="291"/>
      <c r="G572" s="293"/>
      <c r="H572" s="291"/>
      <c r="I572" s="291"/>
      <c r="J572" s="291"/>
      <c r="K572" s="291"/>
      <c r="L572" s="291"/>
      <c r="M572" s="291"/>
      <c r="N572" s="291"/>
      <c r="O572" s="291"/>
      <c r="P572" s="291"/>
    </row>
    <row r="573" spans="1:16" ht="15">
      <c r="A573" s="291"/>
      <c r="B573" s="291"/>
      <c r="C573" s="291"/>
      <c r="D573" s="291"/>
      <c r="E573" s="291"/>
      <c r="F573" s="291"/>
      <c r="G573" s="293"/>
      <c r="H573" s="291"/>
      <c r="I573" s="291"/>
      <c r="J573" s="291"/>
      <c r="K573" s="291"/>
      <c r="L573" s="291"/>
      <c r="M573" s="291"/>
      <c r="N573" s="291"/>
      <c r="O573" s="291"/>
      <c r="P573" s="291"/>
    </row>
    <row r="574" spans="1:16" ht="15">
      <c r="A574" s="291"/>
      <c r="B574" s="291"/>
      <c r="C574" s="291"/>
      <c r="D574" s="291"/>
      <c r="E574" s="291"/>
      <c r="F574" s="291"/>
      <c r="G574" s="293"/>
      <c r="H574" s="291"/>
      <c r="I574" s="291"/>
      <c r="J574" s="291"/>
      <c r="K574" s="291"/>
      <c r="L574" s="291"/>
      <c r="M574" s="291"/>
      <c r="N574" s="291"/>
      <c r="O574" s="291"/>
      <c r="P574" s="291"/>
    </row>
    <row r="575" spans="1:16" ht="15">
      <c r="A575" s="291"/>
      <c r="B575" s="291"/>
      <c r="C575" s="291"/>
      <c r="D575" s="291"/>
      <c r="E575" s="291"/>
      <c r="F575" s="291"/>
      <c r="G575" s="293"/>
      <c r="H575" s="291"/>
      <c r="I575" s="291"/>
      <c r="J575" s="291"/>
      <c r="K575" s="291"/>
      <c r="L575" s="291"/>
      <c r="M575" s="291"/>
      <c r="N575" s="291"/>
      <c r="O575" s="291"/>
      <c r="P575" s="291"/>
    </row>
    <row r="576" spans="1:16" ht="15">
      <c r="A576" s="291"/>
      <c r="B576" s="291"/>
      <c r="C576" s="291"/>
      <c r="D576" s="291"/>
      <c r="E576" s="291"/>
      <c r="F576" s="291"/>
      <c r="G576" s="293"/>
      <c r="H576" s="291"/>
      <c r="I576" s="291"/>
      <c r="J576" s="291"/>
      <c r="K576" s="291"/>
      <c r="L576" s="291"/>
      <c r="M576" s="291"/>
      <c r="N576" s="291"/>
      <c r="O576" s="291"/>
      <c r="P576" s="291"/>
    </row>
    <row r="577" spans="1:16" ht="15">
      <c r="A577" s="291"/>
      <c r="B577" s="291"/>
      <c r="C577" s="291"/>
      <c r="D577" s="291"/>
      <c r="E577" s="291"/>
      <c r="F577" s="291"/>
      <c r="G577" s="293"/>
      <c r="H577" s="291"/>
      <c r="I577" s="291"/>
      <c r="J577" s="291"/>
      <c r="K577" s="291"/>
      <c r="L577" s="291"/>
      <c r="M577" s="291"/>
      <c r="N577" s="291"/>
      <c r="O577" s="291"/>
      <c r="P577" s="291"/>
    </row>
    <row r="578" spans="1:16" ht="15">
      <c r="A578" s="291"/>
      <c r="B578" s="291"/>
      <c r="C578" s="291"/>
      <c r="D578" s="291"/>
      <c r="E578" s="291"/>
      <c r="F578" s="291"/>
      <c r="G578" s="293"/>
      <c r="H578" s="291"/>
      <c r="I578" s="291"/>
      <c r="J578" s="291"/>
      <c r="K578" s="291"/>
      <c r="L578" s="291"/>
      <c r="M578" s="291"/>
      <c r="N578" s="291"/>
      <c r="O578" s="291"/>
      <c r="P578" s="291"/>
    </row>
    <row r="579" spans="1:16" ht="15">
      <c r="A579" s="291"/>
      <c r="B579" s="291"/>
      <c r="C579" s="291"/>
      <c r="D579" s="291"/>
      <c r="E579" s="291"/>
      <c r="F579" s="291"/>
      <c r="G579" s="293"/>
      <c r="H579" s="291"/>
      <c r="I579" s="291"/>
      <c r="J579" s="291"/>
      <c r="K579" s="291"/>
      <c r="L579" s="291"/>
      <c r="M579" s="291"/>
      <c r="N579" s="291"/>
      <c r="O579" s="291"/>
      <c r="P579" s="291"/>
    </row>
    <row r="580" spans="1:16" ht="15">
      <c r="A580" s="291"/>
      <c r="B580" s="291"/>
      <c r="C580" s="291"/>
      <c r="D580" s="291"/>
      <c r="E580" s="291"/>
      <c r="F580" s="291"/>
      <c r="G580" s="293"/>
      <c r="H580" s="291"/>
      <c r="I580" s="291"/>
      <c r="J580" s="291"/>
      <c r="K580" s="291"/>
      <c r="L580" s="291"/>
      <c r="M580" s="291"/>
      <c r="N580" s="291"/>
      <c r="O580" s="291"/>
      <c r="P580" s="291"/>
    </row>
    <row r="581" spans="1:16" ht="15">
      <c r="A581" s="291"/>
      <c r="B581" s="291"/>
      <c r="C581" s="291"/>
      <c r="D581" s="291"/>
      <c r="E581" s="291"/>
      <c r="F581" s="291"/>
      <c r="G581" s="293"/>
      <c r="H581" s="291"/>
      <c r="I581" s="291"/>
      <c r="J581" s="291"/>
      <c r="K581" s="291"/>
      <c r="L581" s="291"/>
      <c r="M581" s="291"/>
      <c r="N581" s="291"/>
      <c r="O581" s="291"/>
      <c r="P581" s="291"/>
    </row>
    <row r="582" spans="1:16" ht="15">
      <c r="A582" s="291"/>
      <c r="B582" s="291"/>
      <c r="C582" s="291"/>
      <c r="D582" s="291"/>
      <c r="E582" s="291"/>
      <c r="F582" s="291"/>
      <c r="G582" s="293"/>
      <c r="H582" s="291"/>
      <c r="I582" s="291"/>
      <c r="J582" s="291"/>
      <c r="K582" s="291"/>
      <c r="L582" s="291"/>
      <c r="M582" s="291"/>
      <c r="N582" s="291"/>
      <c r="O582" s="291"/>
      <c r="P582" s="291"/>
    </row>
    <row r="583" spans="1:16" ht="15">
      <c r="A583" s="291"/>
      <c r="B583" s="291"/>
      <c r="C583" s="291"/>
      <c r="D583" s="291"/>
      <c r="E583" s="291"/>
      <c r="F583" s="291"/>
      <c r="G583" s="293"/>
      <c r="H583" s="291"/>
      <c r="I583" s="291"/>
      <c r="J583" s="291"/>
      <c r="K583" s="291"/>
      <c r="L583" s="291"/>
      <c r="M583" s="291"/>
      <c r="N583" s="291"/>
      <c r="O583" s="291"/>
      <c r="P583" s="291"/>
    </row>
    <row r="584" spans="1:16" ht="15">
      <c r="A584" s="291"/>
      <c r="B584" s="291"/>
      <c r="C584" s="291"/>
      <c r="D584" s="291"/>
      <c r="E584" s="291"/>
      <c r="F584" s="291"/>
      <c r="G584" s="293"/>
      <c r="H584" s="291"/>
      <c r="I584" s="291"/>
      <c r="J584" s="291"/>
      <c r="K584" s="291"/>
      <c r="L584" s="291"/>
      <c r="M584" s="291"/>
      <c r="N584" s="291"/>
      <c r="O584" s="291"/>
      <c r="P584" s="291"/>
    </row>
    <row r="585" spans="1:16" ht="15">
      <c r="A585" s="291"/>
      <c r="B585" s="291"/>
      <c r="C585" s="291"/>
      <c r="D585" s="291"/>
      <c r="E585" s="291"/>
      <c r="F585" s="291"/>
      <c r="G585" s="293"/>
      <c r="H585" s="291"/>
      <c r="I585" s="291"/>
      <c r="J585" s="291"/>
      <c r="K585" s="291"/>
      <c r="L585" s="291"/>
      <c r="M585" s="291"/>
      <c r="N585" s="291"/>
      <c r="O585" s="291"/>
      <c r="P585" s="291"/>
    </row>
    <row r="586" spans="1:16" ht="15">
      <c r="A586" s="291"/>
      <c r="B586" s="291"/>
      <c r="C586" s="291"/>
      <c r="D586" s="291"/>
      <c r="E586" s="291"/>
      <c r="F586" s="291"/>
      <c r="G586" s="293"/>
      <c r="H586" s="291"/>
      <c r="I586" s="291"/>
      <c r="J586" s="291"/>
      <c r="K586" s="291"/>
      <c r="L586" s="291"/>
      <c r="M586" s="291"/>
      <c r="N586" s="291"/>
      <c r="O586" s="291"/>
      <c r="P586" s="291"/>
    </row>
    <row r="587" spans="1:16" ht="15">
      <c r="A587" s="291"/>
      <c r="B587" s="291"/>
      <c r="C587" s="291"/>
      <c r="D587" s="291"/>
      <c r="E587" s="291"/>
      <c r="F587" s="291"/>
      <c r="G587" s="293"/>
      <c r="H587" s="291"/>
      <c r="I587" s="291"/>
      <c r="J587" s="291"/>
      <c r="K587" s="291"/>
      <c r="L587" s="291"/>
      <c r="M587" s="291"/>
      <c r="N587" s="291"/>
      <c r="O587" s="291"/>
      <c r="P587" s="291"/>
    </row>
    <row r="588" spans="1:16" ht="15">
      <c r="A588" s="291"/>
      <c r="B588" s="291"/>
      <c r="C588" s="291"/>
      <c r="D588" s="291"/>
      <c r="E588" s="291"/>
      <c r="F588" s="291"/>
      <c r="G588" s="293"/>
      <c r="H588" s="291"/>
      <c r="I588" s="291"/>
      <c r="J588" s="291"/>
      <c r="K588" s="291"/>
      <c r="L588" s="291"/>
      <c r="M588" s="291"/>
      <c r="N588" s="291"/>
      <c r="O588" s="291"/>
      <c r="P588" s="291"/>
    </row>
    <row r="589" spans="1:16" ht="15">
      <c r="A589" s="291"/>
      <c r="B589" s="291"/>
      <c r="C589" s="291"/>
      <c r="D589" s="291"/>
      <c r="E589" s="291"/>
      <c r="F589" s="291"/>
      <c r="G589" s="293"/>
      <c r="H589" s="291"/>
      <c r="I589" s="291"/>
      <c r="J589" s="291"/>
      <c r="K589" s="291"/>
      <c r="L589" s="291"/>
      <c r="M589" s="291"/>
      <c r="N589" s="291"/>
      <c r="O589" s="291"/>
      <c r="P589" s="291"/>
    </row>
    <row r="590" spans="1:16" ht="15">
      <c r="A590" s="291"/>
      <c r="B590" s="291"/>
      <c r="C590" s="291"/>
      <c r="D590" s="291"/>
      <c r="E590" s="291"/>
      <c r="F590" s="291"/>
      <c r="G590" s="293"/>
      <c r="H590" s="291"/>
      <c r="I590" s="291"/>
      <c r="J590" s="291"/>
      <c r="K590" s="291"/>
      <c r="L590" s="291"/>
      <c r="M590" s="291"/>
      <c r="N590" s="291"/>
      <c r="O590" s="291"/>
      <c r="P590" s="291"/>
    </row>
    <row r="591" spans="1:16" ht="15">
      <c r="A591" s="291"/>
      <c r="B591" s="291"/>
      <c r="C591" s="291"/>
      <c r="D591" s="291"/>
      <c r="E591" s="291"/>
      <c r="F591" s="291"/>
      <c r="G591" s="293"/>
      <c r="H591" s="291"/>
      <c r="I591" s="291"/>
      <c r="J591" s="291"/>
      <c r="K591" s="291"/>
      <c r="L591" s="291"/>
      <c r="M591" s="291"/>
      <c r="N591" s="291"/>
      <c r="O591" s="291"/>
      <c r="P591" s="291"/>
    </row>
    <row r="592" spans="1:16" ht="15">
      <c r="A592" s="291"/>
      <c r="B592" s="291"/>
      <c r="C592" s="291"/>
      <c r="D592" s="291"/>
      <c r="E592" s="291"/>
      <c r="F592" s="291"/>
      <c r="G592" s="293"/>
      <c r="H592" s="291"/>
      <c r="I592" s="291"/>
      <c r="J592" s="291"/>
      <c r="K592" s="291"/>
      <c r="L592" s="291"/>
      <c r="M592" s="291"/>
      <c r="N592" s="291"/>
      <c r="O592" s="291"/>
      <c r="P592" s="291"/>
    </row>
    <row r="593" spans="1:16" ht="15">
      <c r="A593" s="291"/>
      <c r="B593" s="291"/>
      <c r="C593" s="291"/>
      <c r="D593" s="291"/>
      <c r="E593" s="291"/>
      <c r="F593" s="291"/>
      <c r="G593" s="293"/>
      <c r="H593" s="291"/>
      <c r="I593" s="291"/>
      <c r="J593" s="291"/>
      <c r="K593" s="291"/>
      <c r="L593" s="291"/>
      <c r="M593" s="291"/>
      <c r="N593" s="291"/>
      <c r="O593" s="291"/>
      <c r="P593" s="291"/>
    </row>
    <row r="594" spans="1:16" ht="15">
      <c r="A594" s="291"/>
      <c r="B594" s="291"/>
      <c r="C594" s="291"/>
      <c r="D594" s="291"/>
      <c r="E594" s="291"/>
      <c r="F594" s="291"/>
      <c r="G594" s="293"/>
      <c r="H594" s="291"/>
      <c r="I594" s="291"/>
      <c r="J594" s="291"/>
      <c r="K594" s="291"/>
      <c r="L594" s="291"/>
      <c r="M594" s="291"/>
      <c r="N594" s="291"/>
      <c r="O594" s="291"/>
      <c r="P594" s="291"/>
    </row>
    <row r="595" spans="1:16" ht="15">
      <c r="A595" s="291"/>
      <c r="B595" s="291"/>
      <c r="C595" s="291"/>
      <c r="D595" s="291"/>
      <c r="E595" s="291"/>
      <c r="F595" s="291"/>
      <c r="G595" s="293"/>
      <c r="H595" s="291"/>
      <c r="I595" s="291"/>
      <c r="J595" s="291"/>
      <c r="K595" s="291"/>
      <c r="L595" s="291"/>
      <c r="M595" s="291"/>
      <c r="N595" s="291"/>
      <c r="O595" s="291"/>
      <c r="P595" s="291"/>
    </row>
    <row r="596" spans="1:16" ht="15">
      <c r="A596" s="291"/>
      <c r="B596" s="291"/>
      <c r="C596" s="291"/>
      <c r="D596" s="291"/>
      <c r="E596" s="291"/>
      <c r="F596" s="291"/>
      <c r="G596" s="293"/>
      <c r="H596" s="291"/>
      <c r="I596" s="291"/>
      <c r="J596" s="291"/>
      <c r="K596" s="291"/>
      <c r="L596" s="291"/>
      <c r="M596" s="291"/>
      <c r="N596" s="291"/>
      <c r="O596" s="291"/>
      <c r="P596" s="291"/>
    </row>
    <row r="597" spans="1:16" ht="15">
      <c r="A597" s="291"/>
      <c r="B597" s="291"/>
      <c r="C597" s="291"/>
      <c r="D597" s="291"/>
      <c r="E597" s="291"/>
      <c r="F597" s="291"/>
      <c r="G597" s="293"/>
      <c r="H597" s="291"/>
      <c r="I597" s="291"/>
      <c r="J597" s="291"/>
      <c r="K597" s="291"/>
      <c r="L597" s="291"/>
      <c r="M597" s="291"/>
      <c r="N597" s="291"/>
      <c r="O597" s="291"/>
      <c r="P597" s="291"/>
    </row>
    <row r="598" spans="1:16" ht="15">
      <c r="A598" s="291"/>
      <c r="B598" s="291"/>
      <c r="C598" s="291"/>
      <c r="D598" s="291"/>
      <c r="E598" s="291"/>
      <c r="F598" s="291"/>
      <c r="G598" s="293"/>
      <c r="H598" s="291"/>
      <c r="I598" s="291"/>
      <c r="J598" s="291"/>
      <c r="K598" s="291"/>
      <c r="L598" s="291"/>
      <c r="M598" s="291"/>
      <c r="N598" s="291"/>
      <c r="O598" s="291"/>
      <c r="P598" s="291"/>
    </row>
    <row r="599" spans="1:16" ht="15">
      <c r="A599" s="291"/>
      <c r="B599" s="291"/>
      <c r="C599" s="291"/>
      <c r="D599" s="291"/>
      <c r="E599" s="291"/>
      <c r="F599" s="291"/>
      <c r="G599" s="293"/>
      <c r="H599" s="291"/>
      <c r="I599" s="291"/>
      <c r="J599" s="291"/>
      <c r="K599" s="291"/>
      <c r="L599" s="291"/>
      <c r="M599" s="291"/>
      <c r="N599" s="291"/>
      <c r="O599" s="291"/>
      <c r="P599" s="291"/>
    </row>
    <row r="600" spans="1:16" ht="15">
      <c r="A600" s="291"/>
      <c r="B600" s="291"/>
      <c r="C600" s="291"/>
      <c r="D600" s="291"/>
      <c r="E600" s="291"/>
      <c r="F600" s="291"/>
      <c r="G600" s="293"/>
      <c r="H600" s="291"/>
      <c r="I600" s="291"/>
      <c r="J600" s="291"/>
      <c r="K600" s="291"/>
      <c r="L600" s="291"/>
      <c r="M600" s="291"/>
      <c r="N600" s="291"/>
      <c r="O600" s="291"/>
      <c r="P600" s="291"/>
    </row>
    <row r="601" spans="1:16" ht="15">
      <c r="A601" s="291"/>
      <c r="B601" s="291"/>
      <c r="C601" s="291"/>
      <c r="D601" s="291"/>
      <c r="E601" s="291"/>
      <c r="F601" s="291"/>
      <c r="G601" s="293"/>
      <c r="H601" s="291"/>
      <c r="I601" s="291"/>
      <c r="J601" s="291"/>
      <c r="K601" s="291"/>
      <c r="L601" s="291"/>
      <c r="M601" s="291"/>
      <c r="N601" s="291"/>
      <c r="O601" s="291"/>
      <c r="P601" s="291"/>
    </row>
    <row r="602" spans="1:16" ht="15">
      <c r="A602" s="291"/>
      <c r="B602" s="291"/>
      <c r="C602" s="291"/>
      <c r="D602" s="291"/>
      <c r="E602" s="291"/>
      <c r="F602" s="291"/>
      <c r="G602" s="293"/>
      <c r="H602" s="291"/>
      <c r="I602" s="291"/>
      <c r="J602" s="291"/>
      <c r="K602" s="291"/>
      <c r="L602" s="291"/>
      <c r="M602" s="291"/>
      <c r="N602" s="291"/>
      <c r="O602" s="291"/>
      <c r="P602" s="291"/>
    </row>
    <row r="603" spans="1:16" ht="15">
      <c r="A603" s="291"/>
      <c r="B603" s="291"/>
      <c r="C603" s="291"/>
      <c r="D603" s="291"/>
      <c r="E603" s="291"/>
      <c r="F603" s="291"/>
      <c r="G603" s="293"/>
      <c r="H603" s="291"/>
      <c r="I603" s="291"/>
      <c r="J603" s="291"/>
      <c r="K603" s="291"/>
      <c r="L603" s="291"/>
      <c r="M603" s="291"/>
      <c r="N603" s="291"/>
      <c r="O603" s="291"/>
      <c r="P603" s="291"/>
    </row>
    <row r="604" spans="1:16" ht="15">
      <c r="A604" s="291"/>
      <c r="B604" s="291"/>
      <c r="C604" s="291"/>
      <c r="D604" s="291"/>
      <c r="E604" s="291"/>
      <c r="F604" s="291"/>
      <c r="G604" s="293"/>
      <c r="H604" s="291"/>
      <c r="I604" s="291"/>
      <c r="J604" s="291"/>
      <c r="K604" s="291"/>
      <c r="L604" s="291"/>
      <c r="M604" s="291"/>
      <c r="N604" s="291"/>
      <c r="O604" s="291"/>
      <c r="P604" s="291"/>
    </row>
    <row r="605" spans="1:16" ht="15">
      <c r="A605" s="291"/>
      <c r="B605" s="291"/>
      <c r="C605" s="291"/>
      <c r="D605" s="291"/>
      <c r="E605" s="291"/>
      <c r="F605" s="291"/>
      <c r="G605" s="293"/>
      <c r="H605" s="291"/>
      <c r="I605" s="291"/>
      <c r="J605" s="291"/>
      <c r="K605" s="291"/>
      <c r="L605" s="291"/>
      <c r="M605" s="291"/>
      <c r="N605" s="291"/>
      <c r="O605" s="291"/>
      <c r="P605" s="291"/>
    </row>
    <row r="606" spans="1:16" ht="15">
      <c r="A606" s="291"/>
      <c r="B606" s="291"/>
      <c r="C606" s="291"/>
      <c r="D606" s="291"/>
      <c r="E606" s="291"/>
      <c r="F606" s="291"/>
      <c r="G606" s="293"/>
      <c r="H606" s="291"/>
      <c r="I606" s="291"/>
      <c r="J606" s="291"/>
      <c r="K606" s="291"/>
      <c r="L606" s="291"/>
      <c r="M606" s="291"/>
      <c r="N606" s="291"/>
      <c r="O606" s="291"/>
      <c r="P606" s="291"/>
    </row>
    <row r="607" spans="1:16" ht="15">
      <c r="A607" s="291"/>
      <c r="B607" s="291"/>
      <c r="C607" s="291"/>
      <c r="D607" s="291"/>
      <c r="E607" s="291"/>
      <c r="F607" s="291"/>
      <c r="G607" s="293"/>
      <c r="H607" s="291"/>
      <c r="I607" s="291"/>
      <c r="J607" s="291"/>
      <c r="K607" s="291"/>
      <c r="L607" s="291"/>
      <c r="M607" s="291"/>
      <c r="N607" s="291"/>
      <c r="O607" s="291"/>
      <c r="P607" s="291"/>
    </row>
    <row r="608" spans="1:16" ht="15">
      <c r="A608" s="291"/>
      <c r="B608" s="291"/>
      <c r="C608" s="291"/>
      <c r="D608" s="291"/>
      <c r="E608" s="291"/>
      <c r="F608" s="291"/>
      <c r="G608" s="293"/>
      <c r="H608" s="291"/>
      <c r="I608" s="291"/>
      <c r="J608" s="291"/>
      <c r="K608" s="291"/>
      <c r="L608" s="291"/>
      <c r="M608" s="291"/>
      <c r="N608" s="291"/>
      <c r="O608" s="291"/>
      <c r="P608" s="291"/>
    </row>
    <row r="609" spans="1:16" ht="15">
      <c r="A609" s="291"/>
      <c r="B609" s="291"/>
      <c r="C609" s="291"/>
      <c r="D609" s="291"/>
      <c r="E609" s="291"/>
      <c r="F609" s="291"/>
      <c r="G609" s="293"/>
      <c r="H609" s="291"/>
      <c r="I609" s="291"/>
      <c r="J609" s="291"/>
      <c r="K609" s="291"/>
      <c r="L609" s="291"/>
      <c r="M609" s="291"/>
      <c r="N609" s="291"/>
      <c r="O609" s="291"/>
      <c r="P609" s="291"/>
    </row>
    <row r="610" spans="1:16" ht="15">
      <c r="A610" s="291"/>
      <c r="B610" s="291"/>
      <c r="C610" s="291"/>
      <c r="D610" s="291"/>
      <c r="E610" s="291"/>
      <c r="F610" s="291"/>
      <c r="G610" s="293"/>
      <c r="H610" s="291"/>
      <c r="I610" s="291"/>
      <c r="J610" s="291"/>
      <c r="K610" s="291"/>
      <c r="L610" s="291"/>
      <c r="M610" s="291"/>
      <c r="N610" s="291"/>
      <c r="O610" s="291"/>
      <c r="P610" s="291"/>
    </row>
    <row r="611" spans="1:16" ht="15">
      <c r="A611" s="291"/>
      <c r="B611" s="291"/>
      <c r="C611" s="291"/>
      <c r="D611" s="291"/>
      <c r="E611" s="291"/>
      <c r="F611" s="291"/>
      <c r="G611" s="293"/>
      <c r="H611" s="291"/>
      <c r="I611" s="291"/>
      <c r="J611" s="291"/>
      <c r="K611" s="291"/>
      <c r="L611" s="291"/>
      <c r="M611" s="291"/>
      <c r="N611" s="291"/>
      <c r="O611" s="291"/>
      <c r="P611" s="291"/>
    </row>
    <row r="612" spans="1:16" ht="15">
      <c r="A612" s="291"/>
      <c r="B612" s="291"/>
      <c r="C612" s="291"/>
      <c r="D612" s="291"/>
      <c r="E612" s="291"/>
      <c r="F612" s="291"/>
      <c r="G612" s="293"/>
      <c r="H612" s="291"/>
      <c r="I612" s="291"/>
      <c r="J612" s="291"/>
      <c r="K612" s="291"/>
      <c r="L612" s="291"/>
      <c r="M612" s="291"/>
      <c r="N612" s="291"/>
      <c r="O612" s="291"/>
      <c r="P612" s="291"/>
    </row>
    <row r="613" spans="1:16" ht="15">
      <c r="A613" s="291"/>
      <c r="B613" s="291"/>
      <c r="C613" s="291"/>
      <c r="D613" s="291"/>
      <c r="E613" s="291"/>
      <c r="F613" s="291"/>
      <c r="G613" s="293"/>
      <c r="H613" s="291"/>
      <c r="I613" s="291"/>
      <c r="J613" s="291"/>
      <c r="K613" s="291"/>
      <c r="L613" s="291"/>
      <c r="M613" s="291"/>
      <c r="N613" s="291"/>
      <c r="O613" s="291"/>
      <c r="P613" s="291"/>
    </row>
    <row r="614" spans="1:16" ht="15">
      <c r="A614" s="291"/>
      <c r="B614" s="291"/>
      <c r="C614" s="291"/>
      <c r="D614" s="291"/>
      <c r="E614" s="291"/>
      <c r="F614" s="291"/>
      <c r="G614" s="293"/>
      <c r="H614" s="291"/>
      <c r="I614" s="291"/>
      <c r="J614" s="291"/>
      <c r="K614" s="291"/>
      <c r="L614" s="291"/>
      <c r="M614" s="291"/>
      <c r="N614" s="291"/>
      <c r="O614" s="291"/>
      <c r="P614" s="291"/>
    </row>
    <row r="615" spans="1:16" ht="15">
      <c r="A615" s="291"/>
      <c r="B615" s="291"/>
      <c r="C615" s="291"/>
      <c r="D615" s="291"/>
      <c r="E615" s="291"/>
      <c r="F615" s="291"/>
      <c r="G615" s="293"/>
      <c r="H615" s="291"/>
      <c r="I615" s="291"/>
      <c r="J615" s="291"/>
      <c r="K615" s="291"/>
      <c r="L615" s="291"/>
      <c r="M615" s="291"/>
      <c r="N615" s="291"/>
      <c r="O615" s="291"/>
      <c r="P615" s="291"/>
    </row>
    <row r="616" spans="1:16" ht="15">
      <c r="A616" s="291"/>
      <c r="B616" s="291"/>
      <c r="C616" s="291"/>
      <c r="D616" s="291"/>
      <c r="E616" s="291"/>
      <c r="F616" s="291"/>
      <c r="G616" s="293"/>
      <c r="H616" s="291"/>
      <c r="I616" s="291"/>
      <c r="J616" s="291"/>
      <c r="K616" s="291"/>
      <c r="L616" s="291"/>
      <c r="M616" s="291"/>
      <c r="N616" s="291"/>
      <c r="O616" s="291"/>
      <c r="P616" s="291"/>
    </row>
    <row r="617" spans="1:16" ht="15">
      <c r="A617" s="291"/>
      <c r="B617" s="291"/>
      <c r="C617" s="291"/>
      <c r="D617" s="291"/>
      <c r="E617" s="291"/>
      <c r="F617" s="291"/>
      <c r="G617" s="293"/>
      <c r="H617" s="291"/>
      <c r="I617" s="291"/>
      <c r="J617" s="291"/>
      <c r="K617" s="291"/>
      <c r="L617" s="291"/>
      <c r="M617" s="291"/>
      <c r="N617" s="291"/>
      <c r="O617" s="291"/>
      <c r="P617" s="291"/>
    </row>
    <row r="618" spans="1:16" ht="15">
      <c r="A618" s="291"/>
      <c r="B618" s="291"/>
      <c r="C618" s="291"/>
      <c r="D618" s="291"/>
      <c r="E618" s="291"/>
      <c r="F618" s="291"/>
      <c r="G618" s="293"/>
      <c r="H618" s="291"/>
      <c r="I618" s="291"/>
      <c r="J618" s="291"/>
      <c r="K618" s="291"/>
      <c r="L618" s="291"/>
      <c r="M618" s="291"/>
      <c r="N618" s="291"/>
      <c r="O618" s="291"/>
      <c r="P618" s="291"/>
    </row>
    <row r="619" spans="1:16" ht="15">
      <c r="A619" s="291"/>
      <c r="B619" s="291"/>
      <c r="C619" s="291"/>
      <c r="D619" s="291"/>
      <c r="E619" s="291"/>
      <c r="F619" s="291"/>
      <c r="G619" s="293"/>
      <c r="H619" s="291"/>
      <c r="I619" s="291"/>
      <c r="J619" s="291"/>
      <c r="K619" s="291"/>
      <c r="L619" s="291"/>
      <c r="M619" s="291"/>
      <c r="N619" s="291"/>
      <c r="O619" s="291"/>
      <c r="P619" s="291"/>
    </row>
    <row r="620" spans="1:16" ht="15">
      <c r="A620" s="291"/>
      <c r="B620" s="291"/>
      <c r="C620" s="291"/>
      <c r="D620" s="291"/>
      <c r="E620" s="291"/>
      <c r="F620" s="291"/>
      <c r="G620" s="293"/>
      <c r="H620" s="291"/>
      <c r="I620" s="291"/>
      <c r="J620" s="291"/>
      <c r="K620" s="291"/>
      <c r="L620" s="291"/>
      <c r="M620" s="291"/>
      <c r="N620" s="291"/>
      <c r="O620" s="291"/>
      <c r="P620" s="291"/>
    </row>
    <row r="621" spans="1:16" ht="15">
      <c r="A621" s="291"/>
      <c r="B621" s="291"/>
      <c r="C621" s="291"/>
      <c r="D621" s="291"/>
      <c r="E621" s="291"/>
      <c r="F621" s="291"/>
      <c r="G621" s="293"/>
      <c r="H621" s="291"/>
      <c r="I621" s="291"/>
      <c r="J621" s="291"/>
      <c r="K621" s="291"/>
      <c r="L621" s="291"/>
      <c r="M621" s="291"/>
      <c r="N621" s="291"/>
      <c r="O621" s="291"/>
      <c r="P621" s="291"/>
    </row>
    <row r="622" spans="1:16" ht="15">
      <c r="A622" s="291"/>
      <c r="B622" s="291"/>
      <c r="C622" s="291"/>
      <c r="D622" s="291"/>
      <c r="E622" s="291"/>
      <c r="F622" s="291"/>
      <c r="G622" s="293"/>
      <c r="H622" s="291"/>
      <c r="I622" s="291"/>
      <c r="J622" s="291"/>
      <c r="K622" s="291"/>
      <c r="L622" s="291"/>
      <c r="M622" s="291"/>
      <c r="N622" s="291"/>
      <c r="O622" s="291"/>
      <c r="P622" s="291"/>
    </row>
    <row r="623" spans="1:16" ht="15">
      <c r="A623" s="291"/>
      <c r="B623" s="291"/>
      <c r="C623" s="291"/>
      <c r="D623" s="291"/>
      <c r="E623" s="291"/>
      <c r="F623" s="291"/>
      <c r="G623" s="293"/>
      <c r="H623" s="291"/>
      <c r="I623" s="291"/>
      <c r="J623" s="291"/>
      <c r="K623" s="291"/>
      <c r="L623" s="291"/>
      <c r="M623" s="291"/>
      <c r="N623" s="291"/>
      <c r="O623" s="291"/>
      <c r="P623" s="291"/>
    </row>
    <row r="624" spans="1:16" ht="15">
      <c r="A624" s="291"/>
      <c r="B624" s="291"/>
      <c r="C624" s="291"/>
      <c r="D624" s="291"/>
      <c r="E624" s="291"/>
      <c r="F624" s="291"/>
      <c r="G624" s="293"/>
      <c r="H624" s="291"/>
      <c r="I624" s="291"/>
      <c r="J624" s="291"/>
      <c r="K624" s="291"/>
      <c r="L624" s="291"/>
      <c r="M624" s="291"/>
      <c r="N624" s="291"/>
      <c r="O624" s="291"/>
      <c r="P624" s="291"/>
    </row>
    <row r="625" spans="1:16" ht="15">
      <c r="A625" s="291"/>
      <c r="B625" s="291"/>
      <c r="C625" s="291"/>
      <c r="D625" s="291"/>
      <c r="E625" s="291"/>
      <c r="F625" s="291"/>
      <c r="G625" s="293"/>
      <c r="H625" s="291"/>
      <c r="I625" s="291"/>
      <c r="J625" s="291"/>
      <c r="K625" s="291"/>
      <c r="L625" s="291"/>
      <c r="M625" s="291"/>
      <c r="N625" s="291"/>
      <c r="O625" s="291"/>
      <c r="P625" s="291"/>
    </row>
    <row r="626" spans="1:16" ht="15">
      <c r="A626" s="291"/>
      <c r="B626" s="291"/>
      <c r="C626" s="291"/>
      <c r="D626" s="291"/>
      <c r="E626" s="291"/>
      <c r="F626" s="291"/>
      <c r="G626" s="293"/>
      <c r="H626" s="291"/>
      <c r="I626" s="291"/>
      <c r="J626" s="291"/>
      <c r="K626" s="291"/>
      <c r="L626" s="291"/>
      <c r="M626" s="291"/>
      <c r="N626" s="291"/>
      <c r="O626" s="291"/>
      <c r="P626" s="291"/>
    </row>
    <row r="627" spans="1:16" ht="15">
      <c r="A627" s="291"/>
      <c r="B627" s="291"/>
      <c r="C627" s="291"/>
      <c r="D627" s="291"/>
      <c r="E627" s="291"/>
      <c r="F627" s="291"/>
      <c r="G627" s="293"/>
      <c r="H627" s="291"/>
      <c r="I627" s="291"/>
      <c r="J627" s="291"/>
      <c r="K627" s="291"/>
      <c r="L627" s="291"/>
      <c r="M627" s="291"/>
      <c r="N627" s="291"/>
      <c r="O627" s="291"/>
      <c r="P627" s="291"/>
    </row>
    <row r="628" spans="1:16" ht="15">
      <c r="A628" s="291"/>
      <c r="B628" s="291"/>
      <c r="C628" s="291"/>
      <c r="D628" s="291"/>
      <c r="E628" s="291"/>
      <c r="F628" s="291"/>
      <c r="G628" s="293"/>
      <c r="H628" s="291"/>
      <c r="I628" s="291"/>
      <c r="J628" s="291"/>
      <c r="K628" s="291"/>
      <c r="L628" s="291"/>
      <c r="M628" s="291"/>
      <c r="N628" s="291"/>
      <c r="O628" s="291"/>
      <c r="P628" s="291"/>
    </row>
    <row r="629" spans="1:16" ht="15">
      <c r="A629" s="291"/>
      <c r="B629" s="291"/>
      <c r="C629" s="291"/>
      <c r="D629" s="291"/>
      <c r="E629" s="291"/>
      <c r="F629" s="291"/>
      <c r="G629" s="293"/>
      <c r="H629" s="291"/>
      <c r="I629" s="291"/>
      <c r="J629" s="291"/>
      <c r="K629" s="291"/>
      <c r="L629" s="291"/>
      <c r="M629" s="291"/>
      <c r="N629" s="291"/>
      <c r="O629" s="291"/>
      <c r="P629" s="291"/>
    </row>
    <row r="630" spans="1:16" ht="15">
      <c r="A630" s="291"/>
      <c r="B630" s="291"/>
      <c r="C630" s="291"/>
      <c r="D630" s="291"/>
      <c r="E630" s="291"/>
      <c r="F630" s="291"/>
      <c r="G630" s="293"/>
      <c r="H630" s="291"/>
      <c r="I630" s="291"/>
      <c r="J630" s="291"/>
      <c r="K630" s="291"/>
      <c r="L630" s="291"/>
      <c r="M630" s="291"/>
      <c r="N630" s="291"/>
      <c r="O630" s="291"/>
      <c r="P630" s="291"/>
    </row>
    <row r="631" spans="1:16" ht="15">
      <c r="A631" s="291"/>
      <c r="B631" s="291"/>
      <c r="C631" s="291"/>
      <c r="D631" s="291"/>
      <c r="E631" s="291"/>
      <c r="F631" s="291"/>
      <c r="G631" s="293"/>
      <c r="H631" s="291"/>
      <c r="I631" s="291"/>
      <c r="J631" s="291"/>
      <c r="K631" s="291"/>
      <c r="L631" s="291"/>
      <c r="M631" s="291"/>
      <c r="N631" s="291"/>
      <c r="O631" s="291"/>
      <c r="P631" s="291"/>
    </row>
    <row r="632" spans="1:16" ht="15">
      <c r="A632" s="291"/>
      <c r="B632" s="291"/>
      <c r="C632" s="291"/>
      <c r="D632" s="291"/>
      <c r="E632" s="291"/>
      <c r="F632" s="291"/>
      <c r="G632" s="293"/>
      <c r="H632" s="291"/>
      <c r="I632" s="291"/>
      <c r="J632" s="291"/>
      <c r="K632" s="291"/>
      <c r="L632" s="291"/>
      <c r="M632" s="291"/>
      <c r="N632" s="291"/>
      <c r="O632" s="291"/>
      <c r="P632" s="291"/>
    </row>
    <row r="633" spans="1:16" ht="15">
      <c r="A633" s="291"/>
      <c r="B633" s="291"/>
      <c r="C633" s="291"/>
      <c r="D633" s="291"/>
      <c r="E633" s="291"/>
      <c r="F633" s="291"/>
      <c r="G633" s="293"/>
      <c r="H633" s="291"/>
      <c r="I633" s="291"/>
      <c r="J633" s="291"/>
      <c r="K633" s="291"/>
      <c r="L633" s="291"/>
      <c r="M633" s="291"/>
      <c r="N633" s="291"/>
      <c r="O633" s="291"/>
      <c r="P633" s="291"/>
    </row>
    <row r="634" spans="1:16" ht="15">
      <c r="A634" s="291"/>
      <c r="B634" s="291"/>
      <c r="C634" s="291"/>
      <c r="D634" s="291"/>
      <c r="E634" s="291"/>
      <c r="F634" s="291"/>
      <c r="G634" s="293"/>
      <c r="H634" s="291"/>
      <c r="I634" s="291"/>
      <c r="J634" s="291"/>
      <c r="K634" s="291"/>
      <c r="L634" s="291"/>
      <c r="M634" s="291"/>
      <c r="N634" s="291"/>
      <c r="O634" s="291"/>
      <c r="P634" s="291"/>
    </row>
    <row r="635" spans="1:16" ht="15">
      <c r="A635" s="291"/>
      <c r="B635" s="291"/>
      <c r="C635" s="291"/>
      <c r="D635" s="291"/>
      <c r="E635" s="291"/>
      <c r="F635" s="291"/>
      <c r="G635" s="293"/>
      <c r="H635" s="291"/>
      <c r="I635" s="291"/>
      <c r="J635" s="291"/>
      <c r="K635" s="291"/>
      <c r="L635" s="291"/>
      <c r="M635" s="291"/>
      <c r="N635" s="291"/>
      <c r="O635" s="291"/>
      <c r="P635" s="291"/>
    </row>
    <row r="636" spans="1:16" ht="15">
      <c r="A636" s="291"/>
      <c r="B636" s="291"/>
      <c r="C636" s="291"/>
      <c r="D636" s="291"/>
      <c r="E636" s="291"/>
      <c r="F636" s="291"/>
      <c r="G636" s="293"/>
      <c r="H636" s="291"/>
      <c r="I636" s="291"/>
      <c r="J636" s="291"/>
      <c r="K636" s="291"/>
      <c r="L636" s="291"/>
      <c r="M636" s="291"/>
      <c r="N636" s="291"/>
      <c r="O636" s="291"/>
      <c r="P636" s="291"/>
    </row>
    <row r="637" spans="1:16" ht="15">
      <c r="A637" s="291"/>
      <c r="B637" s="291"/>
      <c r="C637" s="291"/>
      <c r="D637" s="291"/>
      <c r="E637" s="291"/>
      <c r="F637" s="291"/>
      <c r="G637" s="293"/>
      <c r="H637" s="291"/>
      <c r="I637" s="291"/>
      <c r="J637" s="291"/>
      <c r="K637" s="291"/>
      <c r="L637" s="291"/>
      <c r="M637" s="291"/>
      <c r="N637" s="291"/>
      <c r="O637" s="291"/>
      <c r="P637" s="291"/>
    </row>
    <row r="638" spans="1:16" ht="15">
      <c r="A638" s="291"/>
      <c r="B638" s="291"/>
      <c r="C638" s="291"/>
      <c r="D638" s="291"/>
      <c r="E638" s="291"/>
      <c r="F638" s="291"/>
      <c r="G638" s="293"/>
      <c r="H638" s="291"/>
      <c r="I638" s="291"/>
      <c r="J638" s="291"/>
      <c r="K638" s="291"/>
      <c r="L638" s="291"/>
      <c r="M638" s="291"/>
      <c r="N638" s="291"/>
      <c r="O638" s="291"/>
      <c r="P638" s="291"/>
    </row>
    <row r="639" spans="1:16" ht="15">
      <c r="A639" s="291"/>
      <c r="B639" s="291"/>
      <c r="C639" s="291"/>
      <c r="D639" s="291"/>
      <c r="E639" s="291"/>
      <c r="F639" s="291"/>
      <c r="G639" s="293"/>
      <c r="H639" s="291"/>
      <c r="I639" s="291"/>
      <c r="J639" s="291"/>
      <c r="K639" s="291"/>
      <c r="L639" s="291"/>
      <c r="M639" s="291"/>
      <c r="N639" s="291"/>
      <c r="O639" s="291"/>
      <c r="P639" s="291"/>
    </row>
    <row r="640" spans="1:16" ht="15">
      <c r="A640" s="291"/>
      <c r="B640" s="291"/>
      <c r="C640" s="291"/>
      <c r="D640" s="291"/>
      <c r="E640" s="291"/>
      <c r="F640" s="291"/>
      <c r="G640" s="293"/>
      <c r="H640" s="291"/>
      <c r="I640" s="291"/>
      <c r="J640" s="291"/>
      <c r="K640" s="291"/>
      <c r="L640" s="291"/>
      <c r="M640" s="291"/>
      <c r="N640" s="291"/>
      <c r="O640" s="291"/>
      <c r="P640" s="291"/>
    </row>
    <row r="641" spans="1:16" ht="15">
      <c r="A641" s="291"/>
      <c r="B641" s="291"/>
      <c r="C641" s="291"/>
      <c r="D641" s="291"/>
      <c r="E641" s="291"/>
      <c r="F641" s="291"/>
      <c r="G641" s="293"/>
      <c r="H641" s="291"/>
      <c r="I641" s="291"/>
      <c r="J641" s="291"/>
      <c r="K641" s="291"/>
      <c r="L641" s="291"/>
      <c r="M641" s="291"/>
      <c r="N641" s="291"/>
      <c r="O641" s="291"/>
      <c r="P641" s="291"/>
    </row>
    <row r="642" spans="1:16" ht="15">
      <c r="A642" s="291"/>
      <c r="B642" s="291"/>
      <c r="C642" s="291"/>
      <c r="D642" s="291"/>
      <c r="E642" s="291"/>
      <c r="F642" s="291"/>
      <c r="G642" s="293"/>
      <c r="H642" s="291"/>
      <c r="I642" s="291"/>
      <c r="J642" s="291"/>
      <c r="K642" s="291"/>
      <c r="L642" s="291"/>
      <c r="M642" s="291"/>
      <c r="N642" s="291"/>
      <c r="O642" s="291"/>
      <c r="P642" s="291"/>
    </row>
    <row r="643" spans="1:16" ht="15">
      <c r="A643" s="291"/>
      <c r="B643" s="291"/>
      <c r="C643" s="291"/>
      <c r="D643" s="291"/>
      <c r="E643" s="291"/>
      <c r="F643" s="291"/>
      <c r="G643" s="293"/>
      <c r="H643" s="291"/>
      <c r="I643" s="291"/>
      <c r="J643" s="291"/>
      <c r="K643" s="291"/>
      <c r="L643" s="291"/>
      <c r="M643" s="291"/>
      <c r="N643" s="291"/>
      <c r="O643" s="291"/>
      <c r="P643" s="291"/>
    </row>
    <row r="644" spans="1:16" ht="15">
      <c r="A644" s="291"/>
      <c r="B644" s="291"/>
      <c r="C644" s="291"/>
      <c r="D644" s="291"/>
      <c r="E644" s="291"/>
      <c r="F644" s="291"/>
      <c r="G644" s="293"/>
      <c r="H644" s="291"/>
      <c r="I644" s="291"/>
      <c r="J644" s="291"/>
      <c r="K644" s="291"/>
      <c r="L644" s="291"/>
      <c r="M644" s="291"/>
      <c r="N644" s="291"/>
      <c r="O644" s="291"/>
      <c r="P644" s="291"/>
    </row>
    <row r="645" spans="1:16" ht="15">
      <c r="A645" s="291"/>
      <c r="B645" s="291"/>
      <c r="C645" s="291"/>
      <c r="D645" s="291"/>
      <c r="E645" s="291"/>
      <c r="F645" s="291"/>
      <c r="G645" s="293"/>
      <c r="H645" s="291"/>
      <c r="I645" s="291"/>
      <c r="J645" s="291"/>
      <c r="K645" s="291"/>
      <c r="L645" s="291"/>
      <c r="M645" s="291"/>
      <c r="N645" s="291"/>
      <c r="O645" s="291"/>
      <c r="P645" s="291"/>
    </row>
    <row r="646" spans="1:16" ht="15">
      <c r="A646" s="291"/>
      <c r="B646" s="291"/>
      <c r="C646" s="291"/>
      <c r="D646" s="291"/>
      <c r="E646" s="291"/>
      <c r="F646" s="291"/>
      <c r="G646" s="293"/>
      <c r="H646" s="291"/>
      <c r="I646" s="291"/>
      <c r="J646" s="291"/>
      <c r="K646" s="291"/>
      <c r="L646" s="291"/>
      <c r="M646" s="291"/>
      <c r="N646" s="291"/>
      <c r="O646" s="291"/>
      <c r="P646" s="291"/>
    </row>
    <row r="647" spans="1:16" ht="15">
      <c r="A647" s="291"/>
      <c r="B647" s="291"/>
      <c r="C647" s="291"/>
      <c r="D647" s="291"/>
      <c r="E647" s="291"/>
      <c r="F647" s="291"/>
      <c r="G647" s="293"/>
      <c r="H647" s="291"/>
      <c r="I647" s="291"/>
      <c r="J647" s="291"/>
      <c r="K647" s="291"/>
      <c r="L647" s="291"/>
      <c r="M647" s="291"/>
      <c r="N647" s="291"/>
      <c r="O647" s="291"/>
      <c r="P647" s="291"/>
    </row>
    <row r="648" spans="1:16" ht="15">
      <c r="A648" s="291"/>
      <c r="B648" s="291"/>
      <c r="C648" s="291"/>
      <c r="D648" s="291"/>
      <c r="E648" s="291"/>
      <c r="F648" s="291"/>
      <c r="G648" s="293"/>
      <c r="H648" s="291"/>
      <c r="I648" s="291"/>
      <c r="J648" s="291"/>
      <c r="K648" s="291"/>
      <c r="L648" s="291"/>
      <c r="M648" s="291"/>
      <c r="N648" s="291"/>
      <c r="O648" s="291"/>
      <c r="P648" s="291"/>
    </row>
    <row r="649" spans="1:16" ht="15">
      <c r="A649" s="291"/>
      <c r="B649" s="291"/>
      <c r="C649" s="291"/>
      <c r="D649" s="291"/>
      <c r="E649" s="291"/>
      <c r="F649" s="291"/>
      <c r="G649" s="293"/>
      <c r="H649" s="291"/>
      <c r="I649" s="291"/>
      <c r="J649" s="291"/>
      <c r="K649" s="291"/>
      <c r="L649" s="291"/>
      <c r="M649" s="291"/>
      <c r="N649" s="291"/>
      <c r="O649" s="291"/>
      <c r="P649" s="291"/>
    </row>
    <row r="650" spans="1:16" ht="15">
      <c r="A650" s="291"/>
      <c r="B650" s="291"/>
      <c r="C650" s="291"/>
      <c r="D650" s="291"/>
      <c r="E650" s="291"/>
      <c r="F650" s="291"/>
      <c r="G650" s="293"/>
      <c r="H650" s="291"/>
      <c r="I650" s="291"/>
      <c r="J650" s="291"/>
      <c r="K650" s="291"/>
      <c r="L650" s="291"/>
      <c r="M650" s="291"/>
      <c r="N650" s="291"/>
      <c r="O650" s="291"/>
      <c r="P650" s="291"/>
    </row>
    <row r="651" spans="1:16" ht="15">
      <c r="A651" s="291"/>
      <c r="B651" s="291"/>
      <c r="C651" s="291"/>
      <c r="D651" s="291"/>
      <c r="E651" s="291"/>
      <c r="F651" s="291"/>
      <c r="G651" s="293"/>
      <c r="H651" s="291"/>
      <c r="I651" s="291"/>
      <c r="J651" s="291"/>
      <c r="K651" s="291"/>
      <c r="L651" s="291"/>
      <c r="M651" s="291"/>
      <c r="N651" s="291"/>
      <c r="O651" s="291"/>
      <c r="P651" s="291"/>
    </row>
    <row r="652" spans="1:16" ht="15">
      <c r="A652" s="291"/>
      <c r="B652" s="291"/>
      <c r="C652" s="291"/>
      <c r="D652" s="291"/>
      <c r="E652" s="291"/>
      <c r="F652" s="291"/>
      <c r="G652" s="293"/>
      <c r="H652" s="291"/>
      <c r="I652" s="291"/>
      <c r="J652" s="291"/>
      <c r="K652" s="291"/>
      <c r="L652" s="291"/>
      <c r="M652" s="291"/>
      <c r="N652" s="291"/>
      <c r="O652" s="291"/>
      <c r="P652" s="291"/>
    </row>
    <row r="653" spans="1:16" ht="15">
      <c r="A653" s="291"/>
      <c r="B653" s="291"/>
      <c r="C653" s="291"/>
      <c r="D653" s="291"/>
      <c r="E653" s="291"/>
      <c r="F653" s="291"/>
      <c r="G653" s="293"/>
      <c r="H653" s="291"/>
      <c r="I653" s="291"/>
      <c r="J653" s="291"/>
      <c r="K653" s="291"/>
      <c r="L653" s="291"/>
      <c r="M653" s="291"/>
      <c r="N653" s="291"/>
      <c r="O653" s="291"/>
      <c r="P653" s="291"/>
    </row>
    <row r="654" spans="1:16" ht="15">
      <c r="A654" s="291"/>
      <c r="B654" s="291"/>
      <c r="C654" s="291"/>
      <c r="D654" s="291"/>
      <c r="E654" s="291"/>
      <c r="F654" s="291"/>
      <c r="G654" s="293"/>
      <c r="H654" s="291"/>
      <c r="I654" s="291"/>
      <c r="J654" s="291"/>
      <c r="K654" s="291"/>
      <c r="L654" s="291"/>
      <c r="M654" s="291"/>
      <c r="N654" s="291"/>
      <c r="O654" s="291"/>
      <c r="P654" s="291"/>
    </row>
    <row r="655" spans="1:16" ht="15">
      <c r="A655" s="291"/>
      <c r="B655" s="291"/>
      <c r="C655" s="291"/>
      <c r="D655" s="291"/>
      <c r="E655" s="291"/>
      <c r="F655" s="291"/>
      <c r="G655" s="293"/>
      <c r="H655" s="291"/>
      <c r="I655" s="291"/>
      <c r="J655" s="291"/>
      <c r="K655" s="291"/>
      <c r="L655" s="291"/>
      <c r="M655" s="291"/>
      <c r="N655" s="291"/>
      <c r="O655" s="291"/>
      <c r="P655" s="291"/>
    </row>
    <row r="656" spans="1:16" ht="15">
      <c r="A656" s="291"/>
      <c r="B656" s="291"/>
      <c r="C656" s="291"/>
      <c r="D656" s="291"/>
      <c r="E656" s="291"/>
      <c r="F656" s="291"/>
      <c r="G656" s="293"/>
      <c r="H656" s="291"/>
      <c r="I656" s="291"/>
      <c r="J656" s="291"/>
      <c r="K656" s="291"/>
      <c r="L656" s="291"/>
      <c r="M656" s="291"/>
      <c r="N656" s="291"/>
      <c r="O656" s="291"/>
      <c r="P656" s="291"/>
    </row>
    <row r="657" spans="1:16" ht="15">
      <c r="A657" s="291"/>
      <c r="B657" s="291"/>
      <c r="C657" s="291"/>
      <c r="D657" s="291"/>
      <c r="E657" s="291"/>
      <c r="F657" s="291"/>
      <c r="G657" s="293"/>
      <c r="H657" s="291"/>
      <c r="I657" s="291"/>
      <c r="J657" s="291"/>
      <c r="K657" s="291"/>
      <c r="L657" s="291"/>
      <c r="M657" s="291"/>
      <c r="N657" s="291"/>
      <c r="O657" s="291"/>
      <c r="P657" s="291"/>
    </row>
    <row r="658" spans="1:16" ht="15">
      <c r="A658" s="291"/>
      <c r="B658" s="291"/>
      <c r="C658" s="291"/>
      <c r="D658" s="291"/>
      <c r="E658" s="291"/>
      <c r="F658" s="291"/>
      <c r="G658" s="293"/>
      <c r="H658" s="291"/>
      <c r="I658" s="291"/>
      <c r="J658" s="291"/>
      <c r="K658" s="291"/>
      <c r="L658" s="291"/>
      <c r="M658" s="291"/>
      <c r="N658" s="291"/>
      <c r="O658" s="291"/>
      <c r="P658" s="291"/>
    </row>
    <row r="659" spans="1:16" ht="15">
      <c r="A659" s="291"/>
      <c r="B659" s="291"/>
      <c r="C659" s="291"/>
      <c r="D659" s="291"/>
      <c r="E659" s="291"/>
      <c r="F659" s="291"/>
      <c r="G659" s="293"/>
      <c r="H659" s="291"/>
      <c r="I659" s="291"/>
      <c r="J659" s="291"/>
      <c r="K659" s="291"/>
      <c r="L659" s="291"/>
      <c r="M659" s="291"/>
      <c r="N659" s="291"/>
      <c r="O659" s="291"/>
      <c r="P659" s="291"/>
    </row>
    <row r="660" spans="1:16" ht="15">
      <c r="A660" s="291"/>
      <c r="B660" s="291"/>
      <c r="C660" s="291"/>
      <c r="D660" s="291"/>
      <c r="E660" s="291"/>
      <c r="F660" s="291"/>
      <c r="G660" s="293"/>
      <c r="H660" s="291"/>
      <c r="I660" s="291"/>
      <c r="J660" s="291"/>
      <c r="K660" s="291"/>
      <c r="L660" s="291"/>
      <c r="M660" s="291"/>
      <c r="N660" s="291"/>
      <c r="O660" s="291"/>
      <c r="P660" s="291"/>
    </row>
    <row r="661" spans="1:16" ht="15">
      <c r="A661" s="291"/>
      <c r="B661" s="291"/>
      <c r="C661" s="291"/>
      <c r="D661" s="291"/>
      <c r="E661" s="291"/>
      <c r="F661" s="291"/>
      <c r="G661" s="293"/>
      <c r="H661" s="291"/>
      <c r="I661" s="291"/>
      <c r="J661" s="291"/>
      <c r="K661" s="291"/>
      <c r="L661" s="291"/>
      <c r="M661" s="291"/>
      <c r="N661" s="291"/>
      <c r="O661" s="291"/>
      <c r="P661" s="291"/>
    </row>
    <row r="662" spans="1:16" ht="15">
      <c r="A662" s="291"/>
      <c r="B662" s="291"/>
      <c r="C662" s="291"/>
      <c r="D662" s="291"/>
      <c r="E662" s="291"/>
      <c r="F662" s="291"/>
      <c r="G662" s="293"/>
      <c r="H662" s="291"/>
      <c r="I662" s="291"/>
      <c r="J662" s="291"/>
      <c r="K662" s="291"/>
      <c r="L662" s="291"/>
      <c r="M662" s="291"/>
      <c r="N662" s="291"/>
      <c r="O662" s="291"/>
      <c r="P662" s="291"/>
    </row>
    <row r="663" spans="1:16" ht="15">
      <c r="A663" s="291"/>
      <c r="B663" s="291"/>
      <c r="C663" s="291"/>
      <c r="D663" s="291"/>
      <c r="E663" s="291"/>
      <c r="F663" s="291"/>
      <c r="G663" s="293"/>
      <c r="H663" s="291"/>
      <c r="I663" s="291"/>
      <c r="J663" s="291"/>
      <c r="K663" s="291"/>
      <c r="L663" s="291"/>
      <c r="M663" s="291"/>
      <c r="N663" s="291"/>
      <c r="O663" s="291"/>
      <c r="P663" s="291"/>
    </row>
    <row r="664" spans="1:16" ht="15">
      <c r="A664" s="291"/>
      <c r="B664" s="291"/>
      <c r="C664" s="291"/>
      <c r="D664" s="291"/>
      <c r="E664" s="291"/>
      <c r="F664" s="291"/>
      <c r="G664" s="293"/>
      <c r="H664" s="291"/>
      <c r="I664" s="291"/>
      <c r="J664" s="291"/>
      <c r="K664" s="291"/>
      <c r="L664" s="291"/>
      <c r="M664" s="291"/>
      <c r="N664" s="291"/>
      <c r="O664" s="291"/>
      <c r="P664" s="291"/>
    </row>
    <row r="665" spans="1:16" ht="15">
      <c r="A665" s="291"/>
      <c r="B665" s="291"/>
      <c r="C665" s="291"/>
      <c r="D665" s="291"/>
      <c r="E665" s="291"/>
      <c r="F665" s="291"/>
      <c r="G665" s="293"/>
      <c r="H665" s="291"/>
      <c r="I665" s="291"/>
      <c r="J665" s="291"/>
      <c r="K665" s="291"/>
      <c r="L665" s="291"/>
      <c r="M665" s="291"/>
      <c r="N665" s="291"/>
      <c r="O665" s="291"/>
      <c r="P665" s="291"/>
    </row>
    <row r="666" spans="1:16" ht="15">
      <c r="A666" s="291"/>
      <c r="B666" s="291"/>
      <c r="C666" s="291"/>
      <c r="D666" s="291"/>
      <c r="E666" s="291"/>
      <c r="F666" s="291"/>
      <c r="G666" s="293"/>
      <c r="H666" s="291"/>
      <c r="I666" s="291"/>
      <c r="J666" s="291"/>
      <c r="K666" s="291"/>
      <c r="L666" s="291"/>
      <c r="M666" s="291"/>
      <c r="N666" s="291"/>
      <c r="O666" s="291"/>
      <c r="P666" s="291"/>
    </row>
    <row r="667" spans="1:16" ht="15">
      <c r="A667" s="291"/>
      <c r="B667" s="291"/>
      <c r="C667" s="291"/>
      <c r="D667" s="291"/>
      <c r="E667" s="291"/>
      <c r="F667" s="291"/>
      <c r="G667" s="293"/>
      <c r="H667" s="291"/>
      <c r="I667" s="291"/>
      <c r="J667" s="291"/>
      <c r="K667" s="291"/>
      <c r="L667" s="291"/>
      <c r="M667" s="291"/>
      <c r="N667" s="291"/>
      <c r="O667" s="291"/>
      <c r="P667" s="291"/>
    </row>
    <row r="668" spans="1:16" ht="15">
      <c r="A668" s="291"/>
      <c r="B668" s="291"/>
      <c r="C668" s="291"/>
      <c r="D668" s="291"/>
      <c r="E668" s="291"/>
      <c r="F668" s="291"/>
      <c r="G668" s="293"/>
      <c r="H668" s="291"/>
      <c r="I668" s="291"/>
      <c r="J668" s="291"/>
      <c r="K668" s="291"/>
      <c r="L668" s="291"/>
      <c r="M668" s="291"/>
      <c r="N668" s="291"/>
      <c r="O668" s="291"/>
      <c r="P668" s="291"/>
    </row>
    <row r="669" spans="1:16" ht="15">
      <c r="A669" s="291"/>
      <c r="B669" s="291"/>
      <c r="C669" s="291"/>
      <c r="D669" s="291"/>
      <c r="E669" s="291"/>
      <c r="F669" s="291"/>
      <c r="G669" s="293"/>
      <c r="H669" s="291"/>
      <c r="I669" s="291"/>
      <c r="J669" s="291"/>
      <c r="K669" s="291"/>
      <c r="L669" s="291"/>
      <c r="M669" s="291"/>
      <c r="N669" s="291"/>
      <c r="O669" s="291"/>
      <c r="P669" s="291"/>
    </row>
    <row r="670" spans="1:16" ht="15">
      <c r="A670" s="291"/>
      <c r="B670" s="291"/>
      <c r="C670" s="291"/>
      <c r="D670" s="291"/>
      <c r="E670" s="291"/>
      <c r="F670" s="291"/>
      <c r="G670" s="293"/>
      <c r="H670" s="291"/>
      <c r="I670" s="291"/>
      <c r="J670" s="291"/>
      <c r="K670" s="291"/>
      <c r="L670" s="291"/>
      <c r="M670" s="291"/>
      <c r="N670" s="291"/>
      <c r="O670" s="291"/>
      <c r="P670" s="291"/>
    </row>
    <row r="671" spans="1:16" ht="15">
      <c r="A671" s="291"/>
      <c r="B671" s="291"/>
      <c r="C671" s="291"/>
      <c r="D671" s="291"/>
      <c r="E671" s="291"/>
      <c r="F671" s="291"/>
      <c r="G671" s="293"/>
      <c r="H671" s="291"/>
      <c r="I671" s="291"/>
      <c r="J671" s="291"/>
      <c r="K671" s="291"/>
      <c r="L671" s="291"/>
      <c r="M671" s="291"/>
      <c r="N671" s="291"/>
      <c r="O671" s="291"/>
      <c r="P671" s="291"/>
    </row>
    <row r="672" spans="1:16" ht="15">
      <c r="A672" s="291"/>
      <c r="B672" s="291"/>
      <c r="C672" s="291"/>
      <c r="D672" s="291"/>
      <c r="E672" s="291"/>
      <c r="F672" s="291"/>
      <c r="G672" s="293"/>
      <c r="H672" s="291"/>
      <c r="I672" s="291"/>
      <c r="J672" s="291"/>
      <c r="K672" s="291"/>
      <c r="L672" s="291"/>
      <c r="M672" s="291"/>
      <c r="N672" s="291"/>
      <c r="O672" s="291"/>
      <c r="P672" s="291"/>
    </row>
    <row r="673" spans="1:16" ht="15">
      <c r="A673" s="291"/>
      <c r="B673" s="291"/>
      <c r="C673" s="291"/>
      <c r="D673" s="291"/>
      <c r="E673" s="291"/>
      <c r="F673" s="291"/>
      <c r="G673" s="293"/>
      <c r="H673" s="291"/>
      <c r="I673" s="291"/>
      <c r="J673" s="291"/>
      <c r="K673" s="291"/>
      <c r="L673" s="291"/>
      <c r="M673" s="291"/>
      <c r="N673" s="291"/>
      <c r="O673" s="291"/>
      <c r="P673" s="291"/>
    </row>
    <row r="674" spans="1:16" ht="15">
      <c r="A674" s="291"/>
      <c r="B674" s="291"/>
      <c r="C674" s="291"/>
      <c r="D674" s="291"/>
      <c r="E674" s="291"/>
      <c r="F674" s="291"/>
      <c r="G674" s="293"/>
      <c r="H674" s="291"/>
      <c r="I674" s="291"/>
      <c r="J674" s="291"/>
      <c r="K674" s="291"/>
      <c r="L674" s="291"/>
      <c r="M674" s="291"/>
      <c r="N674" s="291"/>
      <c r="O674" s="291"/>
      <c r="P674" s="291"/>
    </row>
    <row r="675" spans="1:16" ht="15">
      <c r="A675" s="291"/>
      <c r="B675" s="291"/>
      <c r="C675" s="291"/>
      <c r="D675" s="291"/>
      <c r="E675" s="291"/>
      <c r="F675" s="291"/>
      <c r="G675" s="293"/>
      <c r="H675" s="291"/>
      <c r="I675" s="291"/>
      <c r="J675" s="291"/>
      <c r="K675" s="291"/>
      <c r="L675" s="291"/>
      <c r="M675" s="291"/>
      <c r="N675" s="291"/>
      <c r="O675" s="291"/>
      <c r="P675" s="291"/>
    </row>
    <row r="676" spans="1:16" ht="15">
      <c r="A676" s="291"/>
      <c r="B676" s="291"/>
      <c r="C676" s="291"/>
      <c r="D676" s="291"/>
      <c r="E676" s="291"/>
      <c r="F676" s="291"/>
      <c r="G676" s="293"/>
      <c r="H676" s="291"/>
      <c r="I676" s="291"/>
      <c r="J676" s="291"/>
      <c r="K676" s="291"/>
      <c r="L676" s="291"/>
      <c r="M676" s="291"/>
      <c r="N676" s="291"/>
      <c r="O676" s="291"/>
      <c r="P676" s="291"/>
    </row>
    <row r="677" spans="1:16" ht="15">
      <c r="A677" s="291"/>
      <c r="B677" s="291"/>
      <c r="C677" s="291"/>
      <c r="D677" s="291"/>
      <c r="E677" s="291"/>
      <c r="F677" s="291"/>
      <c r="G677" s="293"/>
      <c r="H677" s="291"/>
      <c r="I677" s="291"/>
      <c r="J677" s="291"/>
      <c r="K677" s="291"/>
      <c r="L677" s="291"/>
      <c r="M677" s="291"/>
      <c r="N677" s="291"/>
      <c r="O677" s="291"/>
      <c r="P677" s="291"/>
    </row>
    <row r="678" spans="1:16" ht="15">
      <c r="A678" s="291"/>
      <c r="B678" s="291"/>
      <c r="C678" s="291"/>
      <c r="D678" s="291"/>
      <c r="E678" s="291"/>
      <c r="F678" s="291"/>
      <c r="G678" s="293"/>
      <c r="H678" s="291"/>
      <c r="I678" s="291"/>
      <c r="J678" s="291"/>
      <c r="K678" s="291"/>
      <c r="L678" s="291"/>
      <c r="M678" s="291"/>
      <c r="N678" s="291"/>
      <c r="O678" s="291"/>
      <c r="P678" s="291"/>
    </row>
    <row r="679" spans="1:16" ht="15">
      <c r="A679" s="291"/>
      <c r="B679" s="291"/>
      <c r="C679" s="291"/>
      <c r="D679" s="291"/>
      <c r="E679" s="291"/>
      <c r="F679" s="291"/>
      <c r="G679" s="293"/>
      <c r="H679" s="291"/>
      <c r="I679" s="291"/>
      <c r="J679" s="291"/>
      <c r="K679" s="291"/>
      <c r="L679" s="291"/>
      <c r="M679" s="291"/>
      <c r="N679" s="291"/>
      <c r="O679" s="291"/>
      <c r="P679" s="291"/>
    </row>
    <row r="680" spans="1:16" ht="15">
      <c r="A680" s="291"/>
      <c r="B680" s="291"/>
      <c r="C680" s="291"/>
      <c r="D680" s="291"/>
      <c r="E680" s="291"/>
      <c r="F680" s="291"/>
      <c r="G680" s="293"/>
      <c r="H680" s="291"/>
      <c r="I680" s="291"/>
      <c r="J680" s="291"/>
      <c r="K680" s="291"/>
      <c r="L680" s="291"/>
      <c r="M680" s="291"/>
      <c r="N680" s="291"/>
      <c r="O680" s="291"/>
      <c r="P680" s="291"/>
    </row>
    <row r="681" spans="1:16" ht="15">
      <c r="A681" s="291"/>
      <c r="B681" s="291"/>
      <c r="C681" s="291"/>
      <c r="D681" s="291"/>
      <c r="E681" s="291"/>
      <c r="F681" s="291"/>
      <c r="G681" s="293"/>
      <c r="H681" s="291"/>
      <c r="I681" s="291"/>
      <c r="J681" s="291"/>
      <c r="K681" s="291"/>
      <c r="L681" s="291"/>
      <c r="M681" s="291"/>
      <c r="N681" s="291"/>
      <c r="O681" s="291"/>
      <c r="P681" s="291"/>
    </row>
    <row r="682" spans="1:16" ht="15">
      <c r="A682" s="291"/>
      <c r="B682" s="291"/>
      <c r="C682" s="291"/>
      <c r="D682" s="291"/>
      <c r="E682" s="291"/>
      <c r="F682" s="291"/>
      <c r="G682" s="293"/>
      <c r="H682" s="291"/>
      <c r="I682" s="291"/>
      <c r="J682" s="291"/>
      <c r="K682" s="291"/>
      <c r="L682" s="291"/>
      <c r="M682" s="291"/>
      <c r="N682" s="291"/>
      <c r="O682" s="291"/>
      <c r="P682" s="291"/>
    </row>
    <row r="683" spans="1:16" ht="15">
      <c r="A683" s="291"/>
      <c r="B683" s="291"/>
      <c r="C683" s="291"/>
      <c r="D683" s="291"/>
      <c r="E683" s="291"/>
      <c r="F683" s="291"/>
      <c r="G683" s="293"/>
      <c r="H683" s="291"/>
      <c r="I683" s="291"/>
      <c r="J683" s="291"/>
      <c r="K683" s="291"/>
      <c r="L683" s="291"/>
      <c r="M683" s="291"/>
      <c r="N683" s="291"/>
      <c r="O683" s="291"/>
      <c r="P683" s="291"/>
    </row>
    <row r="684" spans="1:16" ht="15">
      <c r="A684" s="291"/>
      <c r="B684" s="291"/>
      <c r="C684" s="291"/>
      <c r="D684" s="291"/>
      <c r="E684" s="291"/>
      <c r="F684" s="291"/>
      <c r="G684" s="293"/>
      <c r="H684" s="291"/>
      <c r="I684" s="291"/>
      <c r="J684" s="291"/>
      <c r="K684" s="291"/>
      <c r="L684" s="291"/>
      <c r="M684" s="291"/>
      <c r="N684" s="291"/>
      <c r="O684" s="291"/>
      <c r="P684" s="291"/>
    </row>
    <row r="685" spans="1:16" ht="15">
      <c r="A685" s="291"/>
      <c r="B685" s="291"/>
      <c r="C685" s="291"/>
      <c r="D685" s="291"/>
      <c r="E685" s="291"/>
      <c r="F685" s="291"/>
      <c r="G685" s="293"/>
      <c r="H685" s="291"/>
      <c r="I685" s="291"/>
      <c r="J685" s="291"/>
      <c r="K685" s="291"/>
      <c r="L685" s="291"/>
      <c r="M685" s="291"/>
      <c r="N685" s="291"/>
      <c r="O685" s="291"/>
      <c r="P685" s="291"/>
    </row>
    <row r="686" spans="1:16" ht="15">
      <c r="A686" s="291"/>
      <c r="B686" s="291"/>
      <c r="C686" s="291"/>
      <c r="D686" s="291"/>
      <c r="E686" s="291"/>
      <c r="F686" s="291"/>
      <c r="G686" s="293"/>
      <c r="H686" s="291"/>
      <c r="I686" s="291"/>
      <c r="J686" s="291"/>
      <c r="K686" s="291"/>
      <c r="L686" s="291"/>
      <c r="M686" s="291"/>
      <c r="N686" s="291"/>
      <c r="O686" s="291"/>
      <c r="P686" s="291"/>
    </row>
    <row r="687" spans="1:16" ht="15">
      <c r="A687" s="291"/>
      <c r="B687" s="291"/>
      <c r="C687" s="291"/>
      <c r="D687" s="291"/>
      <c r="E687" s="291"/>
      <c r="F687" s="291"/>
      <c r="G687" s="293"/>
      <c r="H687" s="291"/>
      <c r="I687" s="291"/>
      <c r="J687" s="291"/>
      <c r="K687" s="291"/>
      <c r="L687" s="291"/>
      <c r="M687" s="291"/>
      <c r="N687" s="291"/>
      <c r="O687" s="291"/>
      <c r="P687" s="291"/>
    </row>
    <row r="688" spans="1:16" ht="15">
      <c r="A688" s="291"/>
      <c r="B688" s="291"/>
      <c r="C688" s="291"/>
      <c r="D688" s="291"/>
      <c r="E688" s="291"/>
      <c r="F688" s="291"/>
      <c r="G688" s="293"/>
      <c r="H688" s="291"/>
      <c r="I688" s="291"/>
      <c r="J688" s="291"/>
      <c r="K688" s="291"/>
      <c r="L688" s="291"/>
      <c r="M688" s="291"/>
      <c r="N688" s="291"/>
      <c r="O688" s="291"/>
      <c r="P688" s="291"/>
    </row>
    <row r="689" spans="1:16" ht="15">
      <c r="A689" s="291"/>
      <c r="B689" s="291"/>
      <c r="C689" s="291"/>
      <c r="D689" s="291"/>
      <c r="E689" s="291"/>
      <c r="F689" s="291"/>
      <c r="G689" s="293"/>
      <c r="H689" s="291"/>
      <c r="I689" s="291"/>
      <c r="J689" s="291"/>
      <c r="K689" s="291"/>
      <c r="L689" s="291"/>
      <c r="M689" s="291"/>
      <c r="N689" s="291"/>
      <c r="O689" s="291"/>
      <c r="P689" s="291"/>
    </row>
    <row r="690" spans="1:16" ht="15">
      <c r="A690" s="291"/>
      <c r="B690" s="291"/>
      <c r="C690" s="291"/>
      <c r="D690" s="291"/>
      <c r="E690" s="291"/>
      <c r="F690" s="291"/>
      <c r="G690" s="293"/>
      <c r="H690" s="291"/>
      <c r="I690" s="291"/>
      <c r="J690" s="291"/>
      <c r="K690" s="291"/>
      <c r="L690" s="291"/>
      <c r="M690" s="291"/>
      <c r="N690" s="291"/>
      <c r="O690" s="291"/>
      <c r="P690" s="291"/>
    </row>
    <row r="691" spans="1:16" ht="15">
      <c r="A691" s="291"/>
      <c r="B691" s="291"/>
      <c r="C691" s="291"/>
      <c r="D691" s="291"/>
      <c r="E691" s="291"/>
      <c r="F691" s="291"/>
      <c r="G691" s="293"/>
      <c r="H691" s="291"/>
      <c r="I691" s="291"/>
      <c r="J691" s="291"/>
      <c r="K691" s="291"/>
      <c r="L691" s="291"/>
      <c r="M691" s="291"/>
      <c r="N691" s="291"/>
      <c r="O691" s="291"/>
      <c r="P691" s="291"/>
    </row>
    <row r="692" spans="1:16" ht="15">
      <c r="A692" s="291"/>
      <c r="B692" s="291"/>
      <c r="C692" s="291"/>
      <c r="D692" s="291"/>
      <c r="E692" s="291"/>
      <c r="F692" s="291"/>
      <c r="G692" s="293"/>
      <c r="H692" s="291"/>
      <c r="I692" s="291"/>
      <c r="J692" s="291"/>
      <c r="K692" s="291"/>
      <c r="L692" s="291"/>
      <c r="M692" s="291"/>
      <c r="N692" s="291"/>
      <c r="O692" s="291"/>
      <c r="P692" s="291"/>
    </row>
    <row r="693" spans="1:16" ht="15">
      <c r="A693" s="291"/>
      <c r="B693" s="291"/>
      <c r="C693" s="291"/>
      <c r="D693" s="291"/>
      <c r="E693" s="291"/>
      <c r="F693" s="291"/>
      <c r="G693" s="293"/>
      <c r="H693" s="291"/>
      <c r="I693" s="291"/>
      <c r="J693" s="291"/>
      <c r="K693" s="291"/>
      <c r="L693" s="291"/>
      <c r="M693" s="291"/>
      <c r="N693" s="291"/>
      <c r="O693" s="291"/>
      <c r="P693" s="291"/>
    </row>
    <row r="694" spans="1:16" ht="15">
      <c r="A694" s="291"/>
      <c r="B694" s="291"/>
      <c r="C694" s="291"/>
      <c r="D694" s="291"/>
      <c r="E694" s="291"/>
      <c r="F694" s="291"/>
      <c r="G694" s="293"/>
      <c r="H694" s="291"/>
      <c r="I694" s="291"/>
      <c r="J694" s="291"/>
      <c r="K694" s="291"/>
      <c r="L694" s="291"/>
      <c r="M694" s="291"/>
      <c r="N694" s="291"/>
      <c r="O694" s="291"/>
      <c r="P694" s="291"/>
    </row>
    <row r="695" spans="1:16" ht="15">
      <c r="A695" s="291"/>
      <c r="B695" s="291"/>
      <c r="C695" s="291"/>
      <c r="D695" s="291"/>
      <c r="E695" s="291"/>
      <c r="F695" s="291"/>
      <c r="G695" s="293"/>
      <c r="H695" s="291"/>
      <c r="I695" s="291"/>
      <c r="J695" s="291"/>
      <c r="K695" s="291"/>
      <c r="L695" s="291"/>
      <c r="M695" s="291"/>
      <c r="N695" s="291"/>
      <c r="O695" s="291"/>
      <c r="P695" s="291"/>
    </row>
    <row r="696" spans="1:16" ht="15">
      <c r="A696" s="291"/>
      <c r="B696" s="291"/>
      <c r="C696" s="291"/>
      <c r="D696" s="291"/>
      <c r="E696" s="291"/>
      <c r="F696" s="291"/>
      <c r="G696" s="293"/>
      <c r="H696" s="291"/>
      <c r="I696" s="291"/>
      <c r="J696" s="291"/>
      <c r="K696" s="291"/>
      <c r="L696" s="291"/>
      <c r="M696" s="291"/>
      <c r="N696" s="291"/>
      <c r="O696" s="291"/>
      <c r="P696" s="291"/>
    </row>
    <row r="697" spans="1:16" ht="15">
      <c r="A697" s="291"/>
      <c r="B697" s="291"/>
      <c r="C697" s="291"/>
      <c r="D697" s="291"/>
      <c r="E697" s="291"/>
      <c r="F697" s="291"/>
      <c r="G697" s="293"/>
      <c r="H697" s="291"/>
      <c r="I697" s="291"/>
      <c r="J697" s="291"/>
      <c r="K697" s="291"/>
      <c r="L697" s="291"/>
      <c r="M697" s="291"/>
      <c r="N697" s="291"/>
      <c r="O697" s="291"/>
      <c r="P697" s="291"/>
    </row>
    <row r="698" spans="1:16" ht="15">
      <c r="A698" s="291"/>
      <c r="B698" s="291"/>
      <c r="C698" s="291"/>
      <c r="D698" s="291"/>
      <c r="E698" s="291"/>
      <c r="F698" s="291"/>
      <c r="G698" s="293"/>
      <c r="H698" s="291"/>
      <c r="I698" s="291"/>
      <c r="J698" s="291"/>
      <c r="K698" s="291"/>
      <c r="L698" s="291"/>
      <c r="M698" s="291"/>
      <c r="N698" s="291"/>
      <c r="O698" s="291"/>
      <c r="P698" s="291"/>
    </row>
    <row r="699" spans="1:16" ht="15">
      <c r="A699" s="291"/>
      <c r="B699" s="291"/>
      <c r="C699" s="291"/>
      <c r="D699" s="291"/>
      <c r="E699" s="291"/>
      <c r="F699" s="291"/>
      <c r="G699" s="293"/>
      <c r="H699" s="291"/>
      <c r="I699" s="291"/>
      <c r="J699" s="291"/>
      <c r="K699" s="291"/>
      <c r="L699" s="291"/>
      <c r="M699" s="291"/>
      <c r="N699" s="291"/>
      <c r="O699" s="291"/>
      <c r="P699" s="291"/>
    </row>
    <row r="700" spans="1:16" ht="15">
      <c r="A700" s="291"/>
      <c r="B700" s="291"/>
      <c r="C700" s="291"/>
      <c r="D700" s="291"/>
      <c r="E700" s="291"/>
      <c r="F700" s="291"/>
      <c r="G700" s="293"/>
      <c r="H700" s="291"/>
      <c r="I700" s="291"/>
      <c r="J700" s="291"/>
      <c r="K700" s="291"/>
      <c r="L700" s="291"/>
      <c r="M700" s="291"/>
      <c r="N700" s="291"/>
      <c r="O700" s="291"/>
      <c r="P700" s="291"/>
    </row>
    <row r="701" spans="1:16" ht="15">
      <c r="A701" s="291"/>
      <c r="B701" s="291"/>
      <c r="C701" s="291"/>
      <c r="D701" s="291"/>
      <c r="E701" s="291"/>
      <c r="F701" s="291"/>
      <c r="G701" s="293"/>
      <c r="H701" s="291"/>
      <c r="I701" s="291"/>
      <c r="J701" s="291"/>
      <c r="K701" s="291"/>
      <c r="L701" s="291"/>
      <c r="M701" s="291"/>
      <c r="N701" s="291"/>
      <c r="O701" s="291"/>
      <c r="P701" s="291"/>
    </row>
    <row r="702" spans="1:16" ht="15">
      <c r="A702" s="291"/>
      <c r="B702" s="291"/>
      <c r="C702" s="291"/>
      <c r="D702" s="291"/>
      <c r="E702" s="291"/>
      <c r="F702" s="291"/>
      <c r="G702" s="293"/>
      <c r="H702" s="291"/>
      <c r="I702" s="291"/>
      <c r="J702" s="291"/>
      <c r="K702" s="291"/>
      <c r="L702" s="291"/>
      <c r="M702" s="291"/>
      <c r="N702" s="291"/>
      <c r="O702" s="291"/>
      <c r="P702" s="291"/>
    </row>
    <row r="703" spans="1:16" ht="15">
      <c r="A703" s="291"/>
      <c r="B703" s="291"/>
      <c r="C703" s="291"/>
      <c r="D703" s="291"/>
      <c r="E703" s="291"/>
      <c r="F703" s="291"/>
      <c r="G703" s="293"/>
      <c r="H703" s="291"/>
      <c r="I703" s="291"/>
      <c r="J703" s="291"/>
      <c r="K703" s="291"/>
      <c r="L703" s="291"/>
      <c r="M703" s="291"/>
      <c r="N703" s="291"/>
      <c r="O703" s="291"/>
      <c r="P703" s="291"/>
    </row>
    <row r="704" spans="1:16" ht="15">
      <c r="A704" s="291"/>
      <c r="B704" s="291"/>
      <c r="C704" s="291"/>
      <c r="D704" s="291"/>
      <c r="E704" s="291"/>
      <c r="F704" s="291"/>
      <c r="G704" s="293"/>
      <c r="H704" s="291"/>
      <c r="I704" s="291"/>
      <c r="J704" s="291"/>
      <c r="K704" s="291"/>
      <c r="L704" s="291"/>
      <c r="M704" s="291"/>
      <c r="N704" s="291"/>
      <c r="O704" s="291"/>
      <c r="P704" s="291"/>
    </row>
    <row r="705" spans="1:16" ht="15">
      <c r="A705" s="291"/>
      <c r="B705" s="291"/>
      <c r="C705" s="291"/>
      <c r="D705" s="291"/>
      <c r="E705" s="291"/>
      <c r="F705" s="291"/>
      <c r="G705" s="293"/>
      <c r="H705" s="291"/>
      <c r="I705" s="291"/>
      <c r="J705" s="291"/>
      <c r="K705" s="291"/>
      <c r="L705" s="291"/>
      <c r="M705" s="291"/>
      <c r="N705" s="291"/>
      <c r="O705" s="291"/>
      <c r="P705" s="291"/>
    </row>
    <row r="706" spans="1:16" ht="15">
      <c r="A706" s="291"/>
      <c r="B706" s="291"/>
      <c r="C706" s="291"/>
      <c r="D706" s="291"/>
      <c r="E706" s="291"/>
      <c r="F706" s="291"/>
      <c r="G706" s="293"/>
      <c r="H706" s="291"/>
      <c r="I706" s="291"/>
      <c r="J706" s="291"/>
      <c r="K706" s="291"/>
      <c r="L706" s="291"/>
      <c r="M706" s="291"/>
      <c r="N706" s="291"/>
      <c r="O706" s="291"/>
      <c r="P706" s="291"/>
    </row>
    <row r="707" spans="1:16" ht="15">
      <c r="A707" s="291"/>
      <c r="B707" s="291"/>
      <c r="C707" s="291"/>
      <c r="D707" s="291"/>
      <c r="E707" s="291"/>
      <c r="F707" s="291"/>
      <c r="G707" s="293"/>
      <c r="H707" s="291"/>
      <c r="I707" s="291"/>
      <c r="J707" s="291"/>
      <c r="K707" s="291"/>
      <c r="L707" s="291"/>
      <c r="M707" s="291"/>
      <c r="N707" s="291"/>
      <c r="O707" s="291"/>
      <c r="P707" s="291"/>
    </row>
    <row r="708" spans="1:16" ht="15">
      <c r="A708" s="291"/>
      <c r="B708" s="291"/>
      <c r="C708" s="291"/>
      <c r="D708" s="291"/>
      <c r="E708" s="291"/>
      <c r="F708" s="291"/>
      <c r="G708" s="293"/>
      <c r="H708" s="291"/>
      <c r="I708" s="291"/>
      <c r="J708" s="291"/>
      <c r="K708" s="291"/>
      <c r="L708" s="291"/>
      <c r="M708" s="291"/>
      <c r="N708" s="291"/>
      <c r="O708" s="291"/>
      <c r="P708" s="291"/>
    </row>
    <row r="709" spans="1:16" ht="15">
      <c r="A709" s="291"/>
      <c r="B709" s="291"/>
      <c r="C709" s="291"/>
      <c r="D709" s="291"/>
      <c r="E709" s="291"/>
      <c r="F709" s="291"/>
      <c r="G709" s="293"/>
      <c r="H709" s="291"/>
      <c r="I709" s="291"/>
      <c r="J709" s="291"/>
      <c r="K709" s="291"/>
      <c r="L709" s="291"/>
      <c r="M709" s="291"/>
      <c r="N709" s="291"/>
      <c r="O709" s="291"/>
      <c r="P709" s="291"/>
    </row>
    <row r="710" spans="1:16" ht="15">
      <c r="A710" s="291"/>
      <c r="B710" s="291"/>
      <c r="C710" s="291"/>
      <c r="D710" s="291"/>
      <c r="E710" s="291"/>
      <c r="F710" s="291"/>
      <c r="G710" s="293"/>
      <c r="H710" s="291"/>
      <c r="I710" s="291"/>
      <c r="J710" s="291"/>
      <c r="K710" s="291"/>
      <c r="L710" s="291"/>
      <c r="M710" s="291"/>
      <c r="N710" s="291"/>
      <c r="O710" s="291"/>
      <c r="P710" s="291"/>
    </row>
    <row r="711" spans="1:16" ht="15">
      <c r="A711" s="291"/>
      <c r="B711" s="291"/>
      <c r="C711" s="291"/>
      <c r="D711" s="291"/>
      <c r="E711" s="291"/>
      <c r="F711" s="291"/>
      <c r="G711" s="293"/>
      <c r="H711" s="291"/>
      <c r="I711" s="291"/>
      <c r="J711" s="291"/>
      <c r="K711" s="291"/>
      <c r="L711" s="291"/>
      <c r="M711" s="291"/>
      <c r="N711" s="291"/>
      <c r="O711" s="291"/>
      <c r="P711" s="291"/>
    </row>
    <row r="712" spans="1:16" ht="15">
      <c r="A712" s="291"/>
      <c r="B712" s="291"/>
      <c r="C712" s="291"/>
      <c r="D712" s="291"/>
      <c r="E712" s="291"/>
      <c r="F712" s="291"/>
      <c r="G712" s="293"/>
      <c r="H712" s="291"/>
      <c r="I712" s="291"/>
      <c r="J712" s="291"/>
      <c r="K712" s="291"/>
      <c r="L712" s="291"/>
      <c r="M712" s="291"/>
      <c r="N712" s="291"/>
      <c r="O712" s="291"/>
      <c r="P712" s="291"/>
    </row>
    <row r="713" spans="1:16" ht="15">
      <c r="A713" s="291"/>
      <c r="B713" s="291"/>
      <c r="C713" s="291"/>
      <c r="D713" s="291"/>
      <c r="E713" s="291"/>
      <c r="F713" s="291"/>
      <c r="G713" s="293"/>
      <c r="H713" s="291"/>
      <c r="I713" s="291"/>
      <c r="J713" s="291"/>
      <c r="K713" s="291"/>
      <c r="L713" s="291"/>
      <c r="M713" s="291"/>
      <c r="N713" s="291"/>
      <c r="O713" s="291"/>
      <c r="P713" s="291"/>
    </row>
    <row r="714" spans="1:16" ht="15">
      <c r="A714" s="291"/>
      <c r="B714" s="291"/>
      <c r="C714" s="291"/>
      <c r="D714" s="291"/>
      <c r="E714" s="291"/>
      <c r="F714" s="291"/>
      <c r="G714" s="293"/>
      <c r="H714" s="291"/>
      <c r="I714" s="291"/>
      <c r="J714" s="291"/>
      <c r="K714" s="291"/>
      <c r="L714" s="291"/>
      <c r="M714" s="291"/>
      <c r="N714" s="291"/>
      <c r="O714" s="291"/>
      <c r="P714" s="291"/>
    </row>
    <row r="715" spans="1:16" ht="15">
      <c r="A715" s="291"/>
      <c r="B715" s="291"/>
      <c r="C715" s="291"/>
      <c r="D715" s="291"/>
      <c r="E715" s="291"/>
      <c r="F715" s="291"/>
      <c r="G715" s="293"/>
      <c r="H715" s="291"/>
      <c r="I715" s="291"/>
      <c r="J715" s="291"/>
      <c r="K715" s="291"/>
      <c r="L715" s="291"/>
      <c r="M715" s="291"/>
      <c r="N715" s="291"/>
      <c r="O715" s="291"/>
      <c r="P715" s="291"/>
    </row>
    <row r="716" spans="1:16" ht="15">
      <c r="A716" s="291"/>
      <c r="B716" s="291"/>
      <c r="C716" s="291"/>
      <c r="D716" s="291"/>
      <c r="E716" s="291"/>
      <c r="F716" s="291"/>
      <c r="G716" s="293"/>
      <c r="H716" s="291"/>
      <c r="I716" s="291"/>
      <c r="J716" s="291"/>
      <c r="K716" s="291"/>
      <c r="L716" s="291"/>
      <c r="M716" s="291"/>
      <c r="N716" s="291"/>
      <c r="O716" s="291"/>
      <c r="P716" s="291"/>
    </row>
    <row r="717" spans="1:16" ht="15">
      <c r="A717" s="291"/>
      <c r="B717" s="291"/>
      <c r="C717" s="291"/>
      <c r="D717" s="291"/>
      <c r="E717" s="291"/>
      <c r="F717" s="291"/>
      <c r="G717" s="293"/>
      <c r="H717" s="291"/>
      <c r="I717" s="291"/>
      <c r="J717" s="291"/>
      <c r="K717" s="291"/>
      <c r="L717" s="291"/>
      <c r="M717" s="291"/>
      <c r="N717" s="291"/>
      <c r="O717" s="291"/>
      <c r="P717" s="291"/>
    </row>
    <row r="718" spans="1:16" ht="15">
      <c r="A718" s="291"/>
      <c r="B718" s="291"/>
      <c r="C718" s="291"/>
      <c r="D718" s="291"/>
      <c r="E718" s="291"/>
      <c r="F718" s="291"/>
      <c r="G718" s="293"/>
      <c r="H718" s="291"/>
      <c r="I718" s="291"/>
      <c r="J718" s="291"/>
      <c r="K718" s="291"/>
      <c r="L718" s="291"/>
      <c r="M718" s="291"/>
      <c r="N718" s="291"/>
      <c r="O718" s="291"/>
      <c r="P718" s="291"/>
    </row>
    <row r="719" spans="1:16" ht="15">
      <c r="A719" s="291"/>
      <c r="B719" s="291"/>
      <c r="C719" s="291"/>
      <c r="D719" s="291"/>
      <c r="E719" s="291"/>
      <c r="F719" s="291"/>
      <c r="G719" s="293"/>
      <c r="H719" s="291"/>
      <c r="I719" s="291"/>
      <c r="J719" s="291"/>
      <c r="K719" s="291"/>
      <c r="L719" s="291"/>
      <c r="M719" s="291"/>
      <c r="N719" s="291"/>
      <c r="O719" s="291"/>
      <c r="P719" s="291"/>
    </row>
    <row r="720" spans="1:16" ht="15">
      <c r="A720" s="291"/>
      <c r="B720" s="291"/>
      <c r="C720" s="291"/>
      <c r="D720" s="291"/>
      <c r="E720" s="291"/>
      <c r="F720" s="291"/>
      <c r="G720" s="293"/>
      <c r="H720" s="291"/>
      <c r="I720" s="291"/>
      <c r="J720" s="291"/>
      <c r="K720" s="291"/>
      <c r="L720" s="291"/>
      <c r="M720" s="291"/>
      <c r="N720" s="291"/>
      <c r="O720" s="291"/>
      <c r="P720" s="291"/>
    </row>
    <row r="721" spans="1:16" ht="15">
      <c r="A721" s="291"/>
      <c r="B721" s="291"/>
      <c r="C721" s="291"/>
      <c r="D721" s="291"/>
      <c r="E721" s="291"/>
      <c r="F721" s="291"/>
      <c r="G721" s="293"/>
      <c r="H721" s="291"/>
      <c r="I721" s="291"/>
      <c r="J721" s="291"/>
      <c r="K721" s="291"/>
      <c r="L721" s="291"/>
      <c r="M721" s="291"/>
      <c r="N721" s="291"/>
      <c r="O721" s="291"/>
      <c r="P721" s="291"/>
    </row>
    <row r="722" spans="1:16" ht="15">
      <c r="A722" s="291"/>
      <c r="B722" s="291"/>
      <c r="C722" s="291"/>
      <c r="D722" s="291"/>
      <c r="E722" s="291"/>
      <c r="F722" s="291"/>
      <c r="G722" s="293"/>
      <c r="H722" s="291"/>
      <c r="I722" s="291"/>
      <c r="J722" s="291"/>
      <c r="K722" s="291"/>
      <c r="L722" s="291"/>
      <c r="M722" s="291"/>
      <c r="N722" s="291"/>
      <c r="O722" s="291"/>
      <c r="P722" s="291"/>
    </row>
    <row r="723" spans="1:16" ht="15">
      <c r="A723" s="291"/>
      <c r="B723" s="291"/>
      <c r="C723" s="291"/>
      <c r="D723" s="291"/>
      <c r="E723" s="291"/>
      <c r="F723" s="291"/>
      <c r="G723" s="293"/>
      <c r="H723" s="291"/>
      <c r="I723" s="291"/>
      <c r="J723" s="291"/>
      <c r="K723" s="291"/>
      <c r="L723" s="291"/>
      <c r="M723" s="291"/>
      <c r="N723" s="291"/>
      <c r="O723" s="291"/>
      <c r="P723" s="291"/>
    </row>
    <row r="724" spans="1:16" ht="15">
      <c r="A724" s="291"/>
      <c r="B724" s="291"/>
      <c r="C724" s="291"/>
      <c r="D724" s="291"/>
      <c r="E724" s="291"/>
      <c r="F724" s="291"/>
      <c r="G724" s="293"/>
      <c r="H724" s="291"/>
      <c r="I724" s="291"/>
      <c r="J724" s="291"/>
      <c r="K724" s="291"/>
      <c r="L724" s="291"/>
      <c r="M724" s="291"/>
      <c r="N724" s="291"/>
      <c r="O724" s="291"/>
      <c r="P724" s="291"/>
    </row>
    <row r="725" spans="1:16" ht="15">
      <c r="A725" s="291"/>
      <c r="B725" s="291"/>
      <c r="C725" s="291"/>
      <c r="D725" s="291"/>
      <c r="E725" s="291"/>
      <c r="F725" s="291"/>
      <c r="G725" s="293"/>
      <c r="H725" s="291"/>
      <c r="I725" s="291"/>
      <c r="J725" s="291"/>
      <c r="K725" s="291"/>
      <c r="L725" s="291"/>
      <c r="M725" s="291"/>
      <c r="N725" s="291"/>
      <c r="O725" s="291"/>
      <c r="P725" s="291"/>
    </row>
    <row r="726" spans="1:16" ht="15">
      <c r="A726" s="291"/>
      <c r="B726" s="291"/>
      <c r="C726" s="291"/>
      <c r="D726" s="291"/>
      <c r="E726" s="291"/>
      <c r="F726" s="291"/>
      <c r="G726" s="293"/>
      <c r="H726" s="291"/>
      <c r="I726" s="291"/>
      <c r="J726" s="291"/>
      <c r="K726" s="291"/>
      <c r="L726" s="291"/>
      <c r="M726" s="291"/>
      <c r="N726" s="291"/>
      <c r="O726" s="291"/>
      <c r="P726" s="291"/>
    </row>
    <row r="727" spans="1:16" ht="15">
      <c r="A727" s="291"/>
      <c r="B727" s="291"/>
      <c r="C727" s="291"/>
      <c r="D727" s="291"/>
      <c r="E727" s="291"/>
      <c r="F727" s="291"/>
      <c r="G727" s="293"/>
      <c r="H727" s="291"/>
      <c r="I727" s="291"/>
      <c r="J727" s="291"/>
      <c r="K727" s="291"/>
      <c r="L727" s="291"/>
      <c r="M727" s="291"/>
      <c r="N727" s="291"/>
      <c r="O727" s="291"/>
      <c r="P727" s="291"/>
    </row>
    <row r="728" spans="1:16" ht="15">
      <c r="A728" s="291"/>
      <c r="B728" s="291"/>
      <c r="C728" s="291"/>
      <c r="D728" s="291"/>
      <c r="E728" s="291"/>
      <c r="F728" s="291"/>
      <c r="G728" s="293"/>
      <c r="H728" s="291"/>
      <c r="I728" s="291"/>
      <c r="J728" s="291"/>
      <c r="K728" s="291"/>
      <c r="L728" s="291"/>
      <c r="M728" s="291"/>
      <c r="N728" s="291"/>
      <c r="O728" s="291"/>
      <c r="P728" s="291"/>
    </row>
    <row r="729" spans="1:16" ht="15">
      <c r="A729" s="291"/>
      <c r="B729" s="291"/>
      <c r="C729" s="291"/>
      <c r="D729" s="291"/>
      <c r="E729" s="291"/>
      <c r="F729" s="291"/>
      <c r="G729" s="293"/>
      <c r="H729" s="291"/>
      <c r="I729" s="291"/>
      <c r="J729" s="291"/>
      <c r="K729" s="291"/>
      <c r="L729" s="291"/>
      <c r="M729" s="291"/>
      <c r="N729" s="291"/>
      <c r="O729" s="291"/>
      <c r="P729" s="291"/>
    </row>
    <row r="730" spans="1:16" ht="15">
      <c r="A730" s="291"/>
      <c r="B730" s="291"/>
      <c r="C730" s="291"/>
      <c r="D730" s="291"/>
      <c r="E730" s="291"/>
      <c r="F730" s="291"/>
      <c r="G730" s="293"/>
      <c r="H730" s="291"/>
      <c r="I730" s="291"/>
      <c r="J730" s="291"/>
      <c r="K730" s="291"/>
      <c r="L730" s="291"/>
      <c r="M730" s="291"/>
      <c r="N730" s="291"/>
      <c r="O730" s="291"/>
      <c r="P730" s="291"/>
    </row>
    <row r="731" spans="1:16" ht="15">
      <c r="A731" s="291"/>
      <c r="B731" s="291"/>
      <c r="C731" s="291"/>
      <c r="D731" s="291"/>
      <c r="E731" s="291"/>
      <c r="F731" s="291"/>
      <c r="G731" s="293"/>
      <c r="H731" s="291"/>
      <c r="I731" s="291"/>
      <c r="J731" s="291"/>
      <c r="K731" s="291"/>
      <c r="L731" s="291"/>
      <c r="M731" s="291"/>
      <c r="N731" s="291"/>
      <c r="O731" s="291"/>
      <c r="P731" s="291"/>
    </row>
    <row r="732" spans="1:16" ht="15">
      <c r="A732" s="291"/>
      <c r="B732" s="291"/>
      <c r="C732" s="291"/>
      <c r="D732" s="291"/>
      <c r="E732" s="291"/>
      <c r="F732" s="291"/>
      <c r="G732" s="293"/>
      <c r="H732" s="291"/>
      <c r="I732" s="291"/>
      <c r="J732" s="291"/>
      <c r="K732" s="291"/>
      <c r="L732" s="291"/>
      <c r="M732" s="291"/>
      <c r="N732" s="291"/>
      <c r="O732" s="291"/>
      <c r="P732" s="291"/>
    </row>
    <row r="733" spans="1:16" ht="15">
      <c r="A733" s="291"/>
      <c r="B733" s="291"/>
      <c r="C733" s="291"/>
      <c r="D733" s="291"/>
      <c r="E733" s="291"/>
      <c r="F733" s="291"/>
      <c r="G733" s="293"/>
      <c r="H733" s="291"/>
      <c r="I733" s="291"/>
      <c r="J733" s="291"/>
      <c r="K733" s="291"/>
      <c r="L733" s="291"/>
      <c r="M733" s="291"/>
      <c r="N733" s="291"/>
      <c r="O733" s="291"/>
      <c r="P733" s="291"/>
    </row>
    <row r="734" spans="1:16" ht="15">
      <c r="A734" s="291"/>
      <c r="B734" s="291"/>
      <c r="C734" s="291"/>
      <c r="D734" s="291"/>
      <c r="E734" s="291"/>
      <c r="F734" s="291"/>
      <c r="G734" s="293"/>
      <c r="H734" s="291"/>
      <c r="I734" s="291"/>
      <c r="J734" s="291"/>
      <c r="K734" s="291"/>
      <c r="L734" s="291"/>
      <c r="M734" s="291"/>
      <c r="N734" s="291"/>
      <c r="O734" s="291"/>
      <c r="P734" s="291"/>
    </row>
    <row r="735" spans="1:16" ht="15">
      <c r="A735" s="291"/>
      <c r="B735" s="291"/>
      <c r="C735" s="291"/>
      <c r="D735" s="291"/>
      <c r="E735" s="291"/>
      <c r="F735" s="291"/>
      <c r="G735" s="293"/>
      <c r="H735" s="291"/>
      <c r="I735" s="291"/>
      <c r="J735" s="291"/>
      <c r="K735" s="291"/>
      <c r="L735" s="291"/>
      <c r="M735" s="291"/>
      <c r="N735" s="291"/>
      <c r="O735" s="291"/>
      <c r="P735" s="291"/>
    </row>
    <row r="736" spans="1:16" ht="15">
      <c r="A736" s="291"/>
      <c r="B736" s="291"/>
      <c r="C736" s="291"/>
      <c r="D736" s="291"/>
      <c r="E736" s="291"/>
      <c r="F736" s="291"/>
      <c r="G736" s="293"/>
      <c r="H736" s="291"/>
      <c r="I736" s="291"/>
      <c r="J736" s="291"/>
      <c r="K736" s="291"/>
      <c r="L736" s="291"/>
      <c r="M736" s="291"/>
      <c r="N736" s="291"/>
      <c r="O736" s="291"/>
      <c r="P736" s="291"/>
    </row>
    <row r="737" spans="1:16" ht="15">
      <c r="A737" s="291"/>
      <c r="B737" s="291"/>
      <c r="C737" s="291"/>
      <c r="D737" s="291"/>
      <c r="E737" s="291"/>
      <c r="F737" s="291"/>
      <c r="G737" s="293"/>
      <c r="H737" s="291"/>
      <c r="I737" s="291"/>
      <c r="J737" s="291"/>
      <c r="K737" s="291"/>
      <c r="L737" s="291"/>
      <c r="M737" s="291"/>
      <c r="N737" s="291"/>
      <c r="O737" s="291"/>
      <c r="P737" s="291"/>
    </row>
    <row r="738" spans="1:16" ht="15">
      <c r="A738" s="291"/>
      <c r="B738" s="291"/>
      <c r="C738" s="291"/>
      <c r="D738" s="291"/>
      <c r="E738" s="291"/>
      <c r="F738" s="291"/>
      <c r="G738" s="293"/>
      <c r="H738" s="291"/>
      <c r="I738" s="291"/>
      <c r="J738" s="291"/>
      <c r="K738" s="291"/>
      <c r="L738" s="291"/>
      <c r="M738" s="291"/>
      <c r="N738" s="291"/>
      <c r="O738" s="291"/>
      <c r="P738" s="291"/>
    </row>
    <row r="739" spans="1:16" ht="15">
      <c r="A739" s="291"/>
      <c r="B739" s="291"/>
      <c r="C739" s="291"/>
      <c r="D739" s="291"/>
      <c r="E739" s="291"/>
      <c r="F739" s="291"/>
      <c r="G739" s="293"/>
      <c r="H739" s="291"/>
      <c r="I739" s="291"/>
      <c r="J739" s="291"/>
      <c r="K739" s="291"/>
      <c r="L739" s="291"/>
      <c r="M739" s="291"/>
      <c r="N739" s="291"/>
      <c r="O739" s="291"/>
      <c r="P739" s="291"/>
    </row>
    <row r="740" spans="1:16" ht="15">
      <c r="A740" s="291"/>
      <c r="B740" s="291"/>
      <c r="C740" s="291"/>
      <c r="D740" s="291"/>
      <c r="E740" s="291"/>
      <c r="F740" s="291"/>
      <c r="G740" s="293"/>
      <c r="H740" s="291"/>
      <c r="I740" s="291"/>
      <c r="J740" s="291"/>
      <c r="K740" s="291"/>
      <c r="L740" s="291"/>
      <c r="M740" s="291"/>
      <c r="N740" s="291"/>
      <c r="O740" s="291"/>
      <c r="P740" s="291"/>
    </row>
    <row r="741" spans="1:16" ht="15">
      <c r="A741" s="291"/>
      <c r="B741" s="291"/>
      <c r="C741" s="291"/>
      <c r="D741" s="291"/>
      <c r="E741" s="291"/>
      <c r="F741" s="291"/>
      <c r="G741" s="293"/>
      <c r="H741" s="291"/>
      <c r="I741" s="291"/>
      <c r="J741" s="291"/>
      <c r="K741" s="291"/>
      <c r="L741" s="291"/>
      <c r="M741" s="291"/>
      <c r="N741" s="291"/>
      <c r="O741" s="291"/>
      <c r="P741" s="291"/>
    </row>
    <row r="742" spans="1:16" ht="15">
      <c r="A742" s="291"/>
      <c r="B742" s="291"/>
      <c r="C742" s="291"/>
      <c r="D742" s="291"/>
      <c r="E742" s="291"/>
      <c r="F742" s="291"/>
      <c r="G742" s="293"/>
      <c r="H742" s="291"/>
      <c r="I742" s="291"/>
      <c r="J742" s="291"/>
      <c r="K742" s="291"/>
      <c r="L742" s="291"/>
      <c r="M742" s="291"/>
      <c r="N742" s="291"/>
      <c r="O742" s="291"/>
      <c r="P742" s="291"/>
    </row>
    <row r="743" spans="1:16" ht="15">
      <c r="A743" s="291"/>
      <c r="B743" s="291"/>
      <c r="C743" s="291"/>
      <c r="D743" s="291"/>
      <c r="E743" s="291"/>
      <c r="F743" s="291"/>
      <c r="G743" s="293"/>
      <c r="H743" s="291"/>
      <c r="I743" s="291"/>
      <c r="J743" s="291"/>
      <c r="K743" s="291"/>
      <c r="L743" s="291"/>
      <c r="M743" s="291"/>
      <c r="N743" s="291"/>
      <c r="O743" s="291"/>
      <c r="P743" s="291"/>
    </row>
    <row r="744" spans="1:16" ht="15">
      <c r="A744" s="291"/>
      <c r="B744" s="291"/>
      <c r="C744" s="291"/>
      <c r="D744" s="291"/>
      <c r="E744" s="291"/>
      <c r="F744" s="291"/>
      <c r="G744" s="293"/>
      <c r="H744" s="291"/>
      <c r="I744" s="291"/>
      <c r="J744" s="291"/>
      <c r="K744" s="291"/>
      <c r="L744" s="291"/>
      <c r="M744" s="291"/>
      <c r="N744" s="291"/>
      <c r="O744" s="291"/>
      <c r="P744" s="291"/>
    </row>
    <row r="745" spans="1:16" ht="15">
      <c r="A745" s="291"/>
      <c r="B745" s="291"/>
      <c r="C745" s="291"/>
      <c r="D745" s="291"/>
      <c r="E745" s="291"/>
      <c r="F745" s="291"/>
      <c r="G745" s="293"/>
      <c r="H745" s="291"/>
      <c r="I745" s="291"/>
      <c r="J745" s="291"/>
      <c r="K745" s="291"/>
      <c r="L745" s="291"/>
      <c r="M745" s="291"/>
      <c r="N745" s="291"/>
      <c r="O745" s="291"/>
      <c r="P745" s="291"/>
    </row>
    <row r="746" spans="1:16" ht="15">
      <c r="A746" s="291"/>
      <c r="B746" s="291"/>
      <c r="C746" s="291"/>
      <c r="D746" s="291"/>
      <c r="E746" s="291"/>
      <c r="F746" s="291"/>
      <c r="G746" s="293"/>
      <c r="H746" s="291"/>
      <c r="I746" s="291"/>
      <c r="J746" s="291"/>
      <c r="K746" s="291"/>
      <c r="L746" s="291"/>
      <c r="M746" s="291"/>
      <c r="N746" s="291"/>
      <c r="O746" s="291"/>
      <c r="P746" s="291"/>
    </row>
    <row r="747" spans="1:16" ht="15">
      <c r="A747" s="291"/>
      <c r="B747" s="291"/>
      <c r="C747" s="291"/>
      <c r="D747" s="291"/>
      <c r="E747" s="291"/>
      <c r="F747" s="291"/>
      <c r="G747" s="293"/>
      <c r="H747" s="291"/>
      <c r="I747" s="291"/>
      <c r="J747" s="291"/>
      <c r="K747" s="291"/>
      <c r="L747" s="291"/>
      <c r="M747" s="291"/>
      <c r="N747" s="291"/>
      <c r="O747" s="291"/>
      <c r="P747" s="291"/>
    </row>
    <row r="748" spans="1:16" ht="15">
      <c r="A748" s="291"/>
      <c r="B748" s="291"/>
      <c r="C748" s="291"/>
      <c r="D748" s="291"/>
      <c r="E748" s="291"/>
      <c r="F748" s="291"/>
      <c r="G748" s="293"/>
      <c r="H748" s="291"/>
      <c r="I748" s="291"/>
      <c r="J748" s="291"/>
      <c r="K748" s="291"/>
      <c r="L748" s="291"/>
      <c r="M748" s="291"/>
      <c r="N748" s="291"/>
      <c r="O748" s="291"/>
      <c r="P748" s="291"/>
    </row>
    <row r="749" spans="1:16" ht="15">
      <c r="A749" s="291"/>
      <c r="B749" s="291"/>
      <c r="C749" s="291"/>
      <c r="D749" s="291"/>
      <c r="E749" s="291"/>
      <c r="F749" s="291"/>
      <c r="G749" s="293"/>
      <c r="H749" s="291"/>
      <c r="I749" s="291"/>
      <c r="J749" s="291"/>
      <c r="K749" s="291"/>
      <c r="L749" s="291"/>
      <c r="M749" s="291"/>
      <c r="N749" s="291"/>
      <c r="O749" s="291"/>
      <c r="P749" s="291"/>
    </row>
    <row r="750" spans="1:16" ht="15">
      <c r="A750" s="291"/>
      <c r="B750" s="291"/>
      <c r="C750" s="291"/>
      <c r="D750" s="291"/>
      <c r="E750" s="291"/>
      <c r="F750" s="291"/>
      <c r="G750" s="293"/>
      <c r="H750" s="291"/>
      <c r="I750" s="291"/>
      <c r="J750" s="291"/>
      <c r="K750" s="291"/>
      <c r="L750" s="291"/>
      <c r="M750" s="291"/>
      <c r="N750" s="291"/>
      <c r="O750" s="291"/>
      <c r="P750" s="291"/>
    </row>
    <row r="751" spans="1:16" ht="15">
      <c r="A751" s="291"/>
      <c r="B751" s="291"/>
      <c r="C751" s="291"/>
      <c r="D751" s="291"/>
      <c r="E751" s="291"/>
      <c r="F751" s="291"/>
      <c r="G751" s="293"/>
      <c r="H751" s="291"/>
      <c r="I751" s="291"/>
      <c r="J751" s="291"/>
      <c r="K751" s="291"/>
      <c r="L751" s="291"/>
      <c r="M751" s="291"/>
      <c r="N751" s="291"/>
      <c r="O751" s="291"/>
      <c r="P751" s="291"/>
    </row>
    <row r="752" spans="1:16" ht="15">
      <c r="A752" s="291"/>
      <c r="B752" s="291"/>
      <c r="C752" s="291"/>
      <c r="D752" s="291"/>
      <c r="E752" s="291"/>
      <c r="F752" s="291"/>
      <c r="G752" s="293"/>
      <c r="H752" s="291"/>
      <c r="I752" s="291"/>
      <c r="J752" s="291"/>
      <c r="K752" s="291"/>
      <c r="L752" s="291"/>
      <c r="M752" s="291"/>
      <c r="N752" s="291"/>
      <c r="O752" s="291"/>
      <c r="P752" s="291"/>
    </row>
    <row r="753" spans="1:16" ht="15">
      <c r="A753" s="291"/>
      <c r="B753" s="291"/>
      <c r="C753" s="291"/>
      <c r="D753" s="291"/>
      <c r="E753" s="291"/>
      <c r="F753" s="291"/>
      <c r="G753" s="293"/>
      <c r="H753" s="291"/>
      <c r="I753" s="291"/>
      <c r="J753" s="291"/>
      <c r="K753" s="291"/>
      <c r="L753" s="291"/>
      <c r="M753" s="291"/>
      <c r="N753" s="291"/>
      <c r="O753" s="291"/>
      <c r="P753" s="291"/>
    </row>
    <row r="754" spans="1:16" ht="15">
      <c r="A754" s="291"/>
      <c r="B754" s="291"/>
      <c r="C754" s="291"/>
      <c r="D754" s="291"/>
      <c r="E754" s="291"/>
      <c r="F754" s="291"/>
      <c r="G754" s="293"/>
      <c r="H754" s="291"/>
      <c r="I754" s="291"/>
      <c r="J754" s="291"/>
      <c r="K754" s="291"/>
      <c r="L754" s="291"/>
      <c r="M754" s="291"/>
      <c r="N754" s="291"/>
      <c r="O754" s="291"/>
      <c r="P754" s="291"/>
    </row>
    <row r="755" spans="1:16" ht="15">
      <c r="A755" s="291"/>
      <c r="B755" s="291"/>
      <c r="C755" s="291"/>
      <c r="D755" s="291"/>
      <c r="E755" s="291"/>
      <c r="F755" s="291"/>
      <c r="G755" s="293"/>
      <c r="H755" s="291"/>
      <c r="I755" s="291"/>
      <c r="J755" s="291"/>
      <c r="K755" s="291"/>
      <c r="L755" s="291"/>
      <c r="M755" s="291"/>
      <c r="N755" s="291"/>
      <c r="O755" s="291"/>
      <c r="P755" s="291"/>
    </row>
    <row r="756" spans="1:16" ht="15">
      <c r="A756" s="291"/>
      <c r="B756" s="291"/>
      <c r="C756" s="291"/>
      <c r="D756" s="291"/>
      <c r="E756" s="291"/>
      <c r="F756" s="291"/>
      <c r="G756" s="293"/>
      <c r="H756" s="291"/>
      <c r="I756" s="291"/>
      <c r="J756" s="291"/>
      <c r="K756" s="291"/>
      <c r="L756" s="291"/>
      <c r="M756" s="291"/>
      <c r="N756" s="291"/>
      <c r="O756" s="291"/>
      <c r="P756" s="291"/>
    </row>
    <row r="757" spans="1:16" ht="15">
      <c r="A757" s="291"/>
      <c r="B757" s="291"/>
      <c r="C757" s="291"/>
      <c r="D757" s="291"/>
      <c r="E757" s="291"/>
      <c r="F757" s="291"/>
      <c r="G757" s="293"/>
      <c r="H757" s="291"/>
      <c r="I757" s="291"/>
      <c r="J757" s="291"/>
      <c r="K757" s="291"/>
      <c r="L757" s="291"/>
      <c r="M757" s="291"/>
      <c r="N757" s="291"/>
      <c r="O757" s="291"/>
      <c r="P757" s="291"/>
    </row>
    <row r="758" spans="1:16" ht="15">
      <c r="A758" s="291"/>
      <c r="B758" s="291"/>
      <c r="C758" s="291"/>
      <c r="D758" s="291"/>
      <c r="E758" s="291"/>
      <c r="F758" s="291"/>
      <c r="G758" s="293"/>
      <c r="H758" s="291"/>
      <c r="I758" s="291"/>
      <c r="J758" s="291"/>
      <c r="K758" s="291"/>
      <c r="L758" s="291"/>
      <c r="M758" s="291"/>
      <c r="N758" s="291"/>
      <c r="O758" s="291"/>
      <c r="P758" s="291"/>
    </row>
    <row r="759" spans="1:16" ht="15">
      <c r="A759" s="291"/>
      <c r="B759" s="291"/>
      <c r="C759" s="291"/>
      <c r="D759" s="291"/>
      <c r="E759" s="291"/>
      <c r="F759" s="291"/>
      <c r="G759" s="293"/>
      <c r="H759" s="291"/>
      <c r="I759" s="291"/>
      <c r="J759" s="291"/>
      <c r="K759" s="291"/>
      <c r="L759" s="291"/>
      <c r="M759" s="291"/>
      <c r="N759" s="291"/>
      <c r="O759" s="291"/>
      <c r="P759" s="291"/>
    </row>
    <row r="760" spans="1:16" ht="15">
      <c r="A760" s="291"/>
      <c r="B760" s="291"/>
      <c r="C760" s="291"/>
      <c r="D760" s="291"/>
      <c r="E760" s="291"/>
      <c r="F760" s="291"/>
      <c r="G760" s="293"/>
      <c r="H760" s="291"/>
      <c r="I760" s="291"/>
      <c r="J760" s="291"/>
      <c r="K760" s="291"/>
      <c r="L760" s="291"/>
      <c r="M760" s="291"/>
      <c r="N760" s="291"/>
      <c r="O760" s="291"/>
      <c r="P760" s="291"/>
    </row>
    <row r="761" spans="1:16" ht="15">
      <c r="A761" s="291"/>
      <c r="B761" s="291"/>
      <c r="C761" s="291"/>
      <c r="D761" s="291"/>
      <c r="E761" s="291"/>
      <c r="F761" s="291"/>
      <c r="G761" s="293"/>
      <c r="H761" s="291"/>
      <c r="I761" s="291"/>
      <c r="J761" s="291"/>
      <c r="K761" s="291"/>
      <c r="L761" s="291"/>
      <c r="M761" s="291"/>
      <c r="N761" s="291"/>
      <c r="O761" s="291"/>
      <c r="P761" s="291"/>
    </row>
    <row r="762" spans="1:16" ht="15">
      <c r="A762" s="291"/>
      <c r="B762" s="291"/>
      <c r="C762" s="291"/>
      <c r="D762" s="291"/>
      <c r="E762" s="291"/>
      <c r="F762" s="291"/>
      <c r="G762" s="293"/>
      <c r="H762" s="291"/>
      <c r="I762" s="291"/>
      <c r="J762" s="291"/>
      <c r="K762" s="291"/>
      <c r="L762" s="291"/>
      <c r="M762" s="291"/>
      <c r="N762" s="291"/>
      <c r="O762" s="291"/>
      <c r="P762" s="291"/>
    </row>
    <row r="763" spans="1:16" ht="15">
      <c r="A763" s="291"/>
      <c r="B763" s="291"/>
      <c r="C763" s="291"/>
      <c r="D763" s="291"/>
      <c r="E763" s="291"/>
      <c r="F763" s="291"/>
      <c r="G763" s="293"/>
      <c r="H763" s="291"/>
      <c r="I763" s="291"/>
      <c r="J763" s="291"/>
      <c r="K763" s="291"/>
      <c r="L763" s="291"/>
      <c r="M763" s="291"/>
      <c r="N763" s="291"/>
      <c r="O763" s="291"/>
      <c r="P763" s="291"/>
    </row>
    <row r="764" spans="1:16" ht="15">
      <c r="A764" s="291"/>
      <c r="B764" s="291"/>
      <c r="C764" s="291"/>
      <c r="D764" s="291"/>
      <c r="E764" s="291"/>
      <c r="F764" s="291"/>
      <c r="G764" s="293"/>
      <c r="H764" s="291"/>
      <c r="I764" s="291"/>
      <c r="J764" s="291"/>
      <c r="K764" s="291"/>
      <c r="L764" s="291"/>
      <c r="M764" s="291"/>
      <c r="N764" s="291"/>
      <c r="O764" s="291"/>
      <c r="P764" s="291"/>
    </row>
    <row r="765" spans="1:16" ht="15">
      <c r="A765" s="291"/>
      <c r="B765" s="291"/>
      <c r="C765" s="291"/>
      <c r="D765" s="291"/>
      <c r="E765" s="291"/>
      <c r="F765" s="291"/>
      <c r="G765" s="293"/>
      <c r="H765" s="291"/>
      <c r="I765" s="291"/>
      <c r="J765" s="291"/>
      <c r="K765" s="291"/>
      <c r="L765" s="291"/>
      <c r="M765" s="291"/>
      <c r="N765" s="291"/>
      <c r="O765" s="291"/>
      <c r="P765" s="291"/>
    </row>
    <row r="766" spans="1:16" ht="15">
      <c r="A766" s="291"/>
      <c r="B766" s="291"/>
      <c r="C766" s="291"/>
      <c r="D766" s="291"/>
      <c r="E766" s="291"/>
      <c r="F766" s="291"/>
      <c r="G766" s="293"/>
      <c r="H766" s="291"/>
      <c r="I766" s="291"/>
      <c r="J766" s="291"/>
      <c r="K766" s="291"/>
      <c r="L766" s="291"/>
      <c r="M766" s="291"/>
      <c r="N766" s="291"/>
      <c r="O766" s="291"/>
      <c r="P766" s="291"/>
    </row>
    <row r="767" spans="1:16" ht="15">
      <c r="A767" s="291"/>
      <c r="B767" s="291"/>
      <c r="C767" s="291"/>
      <c r="D767" s="291"/>
      <c r="E767" s="291"/>
      <c r="F767" s="291"/>
      <c r="G767" s="293"/>
      <c r="H767" s="291"/>
      <c r="I767" s="291"/>
      <c r="J767" s="291"/>
      <c r="K767" s="291"/>
      <c r="L767" s="291"/>
      <c r="M767" s="291"/>
      <c r="N767" s="291"/>
      <c r="O767" s="291"/>
      <c r="P767" s="291"/>
    </row>
    <row r="768" spans="1:16" ht="15">
      <c r="A768" s="291"/>
      <c r="B768" s="291"/>
      <c r="C768" s="291"/>
      <c r="D768" s="291"/>
      <c r="E768" s="291"/>
      <c r="F768" s="291"/>
      <c r="G768" s="293"/>
      <c r="H768" s="291"/>
      <c r="I768" s="291"/>
      <c r="J768" s="291"/>
      <c r="K768" s="291"/>
      <c r="L768" s="291"/>
      <c r="M768" s="291"/>
      <c r="N768" s="291"/>
      <c r="O768" s="291"/>
      <c r="P768" s="291"/>
    </row>
    <row r="769" spans="1:16" ht="15">
      <c r="A769" s="291"/>
      <c r="B769" s="291"/>
      <c r="C769" s="291"/>
      <c r="D769" s="291"/>
      <c r="E769" s="291"/>
      <c r="F769" s="291"/>
      <c r="G769" s="293"/>
      <c r="H769" s="291"/>
      <c r="I769" s="291"/>
      <c r="J769" s="291"/>
      <c r="K769" s="291"/>
      <c r="L769" s="291"/>
      <c r="M769" s="291"/>
      <c r="N769" s="291"/>
      <c r="O769" s="291"/>
      <c r="P769" s="291"/>
    </row>
    <row r="770" spans="1:16" ht="15">
      <c r="A770" s="291"/>
      <c r="B770" s="291"/>
      <c r="C770" s="291"/>
      <c r="D770" s="291"/>
      <c r="E770" s="291"/>
      <c r="F770" s="291"/>
      <c r="G770" s="293"/>
      <c r="H770" s="291"/>
      <c r="I770" s="291"/>
      <c r="J770" s="291"/>
      <c r="K770" s="291"/>
      <c r="L770" s="291"/>
      <c r="M770" s="291"/>
      <c r="N770" s="291"/>
      <c r="O770" s="291"/>
      <c r="P770" s="291"/>
    </row>
    <row r="771" spans="1:16" ht="15">
      <c r="A771" s="291"/>
      <c r="B771" s="291"/>
      <c r="C771" s="291"/>
      <c r="D771" s="291"/>
      <c r="E771" s="291"/>
      <c r="F771" s="291"/>
      <c r="G771" s="293"/>
      <c r="H771" s="291"/>
      <c r="I771" s="291"/>
      <c r="J771" s="291"/>
      <c r="K771" s="291"/>
      <c r="L771" s="291"/>
      <c r="M771" s="291"/>
      <c r="N771" s="291"/>
      <c r="O771" s="291"/>
      <c r="P771" s="291"/>
    </row>
    <row r="772" spans="1:16" ht="15">
      <c r="A772" s="291"/>
      <c r="B772" s="291"/>
      <c r="C772" s="291"/>
      <c r="D772" s="291"/>
      <c r="E772" s="291"/>
      <c r="F772" s="291"/>
      <c r="G772" s="293"/>
      <c r="H772" s="291"/>
      <c r="I772" s="291"/>
      <c r="J772" s="291"/>
      <c r="K772" s="291"/>
      <c r="L772" s="291"/>
      <c r="M772" s="291"/>
      <c r="N772" s="291"/>
      <c r="O772" s="291"/>
      <c r="P772" s="291"/>
    </row>
    <row r="773" spans="1:16" ht="15">
      <c r="A773" s="291"/>
      <c r="B773" s="291"/>
      <c r="C773" s="291"/>
      <c r="D773" s="291"/>
      <c r="E773" s="291"/>
      <c r="F773" s="291"/>
      <c r="G773" s="293"/>
      <c r="H773" s="291"/>
      <c r="I773" s="291"/>
      <c r="J773" s="291"/>
      <c r="K773" s="291"/>
      <c r="L773" s="291"/>
      <c r="M773" s="291"/>
      <c r="N773" s="291"/>
      <c r="O773" s="291"/>
      <c r="P773" s="291"/>
    </row>
    <row r="774" spans="1:16" ht="15">
      <c r="A774" s="291"/>
      <c r="B774" s="291"/>
      <c r="C774" s="291"/>
      <c r="D774" s="291"/>
      <c r="E774" s="291"/>
      <c r="F774" s="291"/>
      <c r="G774" s="293"/>
      <c r="H774" s="291"/>
      <c r="I774" s="291"/>
      <c r="J774" s="291"/>
      <c r="K774" s="291"/>
      <c r="L774" s="291"/>
      <c r="M774" s="291"/>
      <c r="N774" s="291"/>
      <c r="O774" s="291"/>
      <c r="P774" s="291"/>
    </row>
    <row r="775" spans="1:16" ht="15">
      <c r="A775" s="291"/>
      <c r="B775" s="291"/>
      <c r="C775" s="291"/>
      <c r="D775" s="291"/>
      <c r="E775" s="291"/>
      <c r="F775" s="291"/>
      <c r="G775" s="293"/>
      <c r="H775" s="291"/>
      <c r="I775" s="291"/>
      <c r="J775" s="291"/>
      <c r="K775" s="291"/>
      <c r="L775" s="291"/>
      <c r="M775" s="291"/>
      <c r="N775" s="291"/>
      <c r="O775" s="291"/>
      <c r="P775" s="291"/>
    </row>
    <row r="776" spans="1:16" ht="15">
      <c r="A776" s="291"/>
      <c r="B776" s="291"/>
      <c r="C776" s="291"/>
      <c r="D776" s="291"/>
      <c r="E776" s="291"/>
      <c r="F776" s="291"/>
      <c r="G776" s="293"/>
      <c r="H776" s="291"/>
      <c r="I776" s="291"/>
      <c r="J776" s="291"/>
      <c r="K776" s="291"/>
      <c r="L776" s="291"/>
      <c r="M776" s="291"/>
      <c r="N776" s="291"/>
      <c r="O776" s="291"/>
      <c r="P776" s="291"/>
    </row>
    <row r="777" spans="1:16" ht="15">
      <c r="A777" s="291"/>
      <c r="B777" s="291"/>
      <c r="C777" s="291"/>
      <c r="D777" s="291"/>
      <c r="E777" s="291"/>
      <c r="F777" s="291"/>
      <c r="G777" s="293"/>
      <c r="H777" s="291"/>
      <c r="I777" s="291"/>
      <c r="J777" s="291"/>
      <c r="K777" s="291"/>
      <c r="L777" s="291"/>
      <c r="M777" s="291"/>
      <c r="N777" s="291"/>
      <c r="O777" s="291"/>
      <c r="P777" s="291"/>
    </row>
    <row r="778" spans="1:16" ht="15">
      <c r="A778" s="291"/>
      <c r="B778" s="291"/>
      <c r="C778" s="291"/>
      <c r="D778" s="291"/>
      <c r="E778" s="291"/>
      <c r="F778" s="291"/>
      <c r="G778" s="293"/>
      <c r="H778" s="291"/>
      <c r="I778" s="291"/>
      <c r="J778" s="291"/>
      <c r="K778" s="291"/>
      <c r="L778" s="291"/>
      <c r="M778" s="291"/>
      <c r="N778" s="291"/>
      <c r="O778" s="291"/>
      <c r="P778" s="291"/>
    </row>
    <row r="779" spans="1:16" ht="15">
      <c r="A779" s="291"/>
      <c r="B779" s="291"/>
      <c r="C779" s="291"/>
      <c r="D779" s="291"/>
      <c r="E779" s="291"/>
      <c r="F779" s="291"/>
      <c r="G779" s="293"/>
      <c r="H779" s="291"/>
      <c r="I779" s="291"/>
      <c r="J779" s="291"/>
      <c r="K779" s="291"/>
      <c r="L779" s="291"/>
      <c r="M779" s="291"/>
      <c r="N779" s="291"/>
      <c r="O779" s="291"/>
      <c r="P779" s="291"/>
    </row>
    <row r="780" spans="1:16" ht="15">
      <c r="A780" s="291"/>
      <c r="B780" s="291"/>
      <c r="C780" s="291"/>
      <c r="D780" s="291"/>
      <c r="E780" s="291"/>
      <c r="F780" s="291"/>
      <c r="G780" s="293"/>
      <c r="H780" s="291"/>
      <c r="I780" s="291"/>
      <c r="J780" s="291"/>
      <c r="K780" s="291"/>
      <c r="L780" s="291"/>
      <c r="M780" s="291"/>
      <c r="N780" s="291"/>
      <c r="O780" s="291"/>
      <c r="P780" s="291"/>
    </row>
    <row r="781" spans="1:16" ht="15">
      <c r="A781" s="291"/>
      <c r="B781" s="291"/>
      <c r="C781" s="291"/>
      <c r="D781" s="291"/>
      <c r="E781" s="291"/>
      <c r="F781" s="291"/>
      <c r="G781" s="293"/>
      <c r="H781" s="291"/>
      <c r="I781" s="291"/>
      <c r="J781" s="291"/>
      <c r="K781" s="291"/>
      <c r="L781" s="291"/>
      <c r="M781" s="291"/>
      <c r="N781" s="291"/>
      <c r="O781" s="291"/>
      <c r="P781" s="291"/>
    </row>
    <row r="782" spans="1:16" ht="15">
      <c r="A782" s="291"/>
      <c r="B782" s="291"/>
      <c r="C782" s="291"/>
      <c r="D782" s="291"/>
      <c r="E782" s="291"/>
      <c r="F782" s="291"/>
      <c r="G782" s="293"/>
      <c r="H782" s="291"/>
      <c r="I782" s="291"/>
      <c r="J782" s="291"/>
      <c r="K782" s="291"/>
      <c r="L782" s="291"/>
      <c r="M782" s="291"/>
      <c r="N782" s="291"/>
      <c r="O782" s="291"/>
      <c r="P782" s="291"/>
    </row>
    <row r="783" spans="1:16" ht="15">
      <c r="A783" s="291"/>
      <c r="B783" s="291"/>
      <c r="C783" s="291"/>
      <c r="D783" s="291"/>
      <c r="E783" s="291"/>
      <c r="F783" s="291"/>
      <c r="G783" s="293"/>
      <c r="H783" s="291"/>
      <c r="I783" s="291"/>
      <c r="J783" s="291"/>
      <c r="K783" s="291"/>
      <c r="L783" s="291"/>
      <c r="M783" s="291"/>
      <c r="N783" s="291"/>
      <c r="O783" s="291"/>
      <c r="P783" s="291"/>
    </row>
    <row r="784" spans="1:16" ht="15">
      <c r="A784" s="291"/>
      <c r="B784" s="291"/>
      <c r="C784" s="291"/>
      <c r="D784" s="291"/>
      <c r="E784" s="291"/>
      <c r="F784" s="291"/>
      <c r="G784" s="293"/>
      <c r="H784" s="291"/>
      <c r="I784" s="291"/>
      <c r="J784" s="291"/>
      <c r="K784" s="291"/>
      <c r="L784" s="291"/>
      <c r="M784" s="291"/>
      <c r="N784" s="291"/>
      <c r="O784" s="291"/>
      <c r="P784" s="291"/>
    </row>
    <row r="785" spans="1:16" ht="15">
      <c r="A785" s="291"/>
      <c r="B785" s="291"/>
      <c r="C785" s="291"/>
      <c r="D785" s="291"/>
      <c r="E785" s="291"/>
      <c r="F785" s="291"/>
      <c r="G785" s="293"/>
      <c r="H785" s="291"/>
      <c r="I785" s="291"/>
      <c r="J785" s="291"/>
      <c r="K785" s="291"/>
      <c r="L785" s="291"/>
      <c r="M785" s="291"/>
      <c r="N785" s="291"/>
      <c r="O785" s="291"/>
      <c r="P785" s="291"/>
    </row>
    <row r="786" spans="1:16" ht="15">
      <c r="A786" s="291"/>
      <c r="B786" s="291"/>
      <c r="C786" s="291"/>
      <c r="D786" s="291"/>
      <c r="E786" s="291"/>
      <c r="F786" s="291"/>
      <c r="G786" s="293"/>
      <c r="H786" s="291"/>
      <c r="I786" s="291"/>
      <c r="J786" s="291"/>
      <c r="K786" s="291"/>
      <c r="L786" s="291"/>
      <c r="M786" s="291"/>
      <c r="N786" s="291"/>
      <c r="O786" s="291"/>
      <c r="P786" s="291"/>
    </row>
    <row r="787" spans="1:16" ht="15">
      <c r="A787" s="291"/>
      <c r="B787" s="291"/>
      <c r="C787" s="291"/>
      <c r="D787" s="291"/>
      <c r="E787" s="291"/>
      <c r="F787" s="291"/>
      <c r="G787" s="293"/>
      <c r="H787" s="291"/>
      <c r="I787" s="291"/>
      <c r="J787" s="291"/>
      <c r="K787" s="291"/>
      <c r="L787" s="291"/>
      <c r="M787" s="291"/>
      <c r="N787" s="291"/>
      <c r="O787" s="291"/>
      <c r="P787" s="291"/>
    </row>
    <row r="788" spans="1:16" ht="15">
      <c r="A788" s="291"/>
      <c r="B788" s="291"/>
      <c r="C788" s="291"/>
      <c r="D788" s="291"/>
      <c r="E788" s="291"/>
      <c r="F788" s="291"/>
      <c r="G788" s="293"/>
      <c r="H788" s="291"/>
      <c r="I788" s="291"/>
      <c r="J788" s="291"/>
      <c r="K788" s="291"/>
      <c r="L788" s="291"/>
      <c r="M788" s="291"/>
      <c r="N788" s="291"/>
      <c r="O788" s="291"/>
      <c r="P788" s="291"/>
    </row>
    <row r="789" spans="1:16" ht="15">
      <c r="A789" s="291"/>
      <c r="B789" s="291"/>
      <c r="C789" s="291"/>
      <c r="D789" s="291"/>
      <c r="E789" s="291"/>
      <c r="F789" s="291"/>
      <c r="G789" s="293"/>
      <c r="H789" s="291"/>
      <c r="I789" s="291"/>
      <c r="J789" s="291"/>
      <c r="K789" s="291"/>
      <c r="L789" s="291"/>
      <c r="M789" s="291"/>
      <c r="N789" s="291"/>
      <c r="O789" s="291"/>
      <c r="P789" s="291"/>
    </row>
    <row r="790" spans="1:16" ht="15">
      <c r="A790" s="291"/>
      <c r="B790" s="291"/>
      <c r="C790" s="291"/>
      <c r="D790" s="291"/>
      <c r="E790" s="291"/>
      <c r="F790" s="291"/>
      <c r="G790" s="293"/>
      <c r="H790" s="291"/>
      <c r="I790" s="291"/>
      <c r="J790" s="291"/>
      <c r="K790" s="291"/>
      <c r="L790" s="291"/>
      <c r="M790" s="291"/>
      <c r="N790" s="291"/>
      <c r="O790" s="291"/>
      <c r="P790" s="291"/>
    </row>
    <row r="791" spans="1:16" ht="15">
      <c r="A791" s="291"/>
      <c r="B791" s="291"/>
      <c r="C791" s="291"/>
      <c r="D791" s="291"/>
      <c r="E791" s="291"/>
      <c r="F791" s="291"/>
      <c r="G791" s="293"/>
      <c r="H791" s="291"/>
      <c r="I791" s="291"/>
      <c r="J791" s="291"/>
      <c r="K791" s="291"/>
      <c r="L791" s="291"/>
      <c r="M791" s="291"/>
      <c r="N791" s="291"/>
      <c r="O791" s="291"/>
      <c r="P791" s="291"/>
    </row>
    <row r="792" spans="1:16" ht="15">
      <c r="A792" s="291"/>
      <c r="B792" s="291"/>
      <c r="C792" s="291"/>
      <c r="D792" s="291"/>
      <c r="E792" s="291"/>
      <c r="F792" s="291"/>
      <c r="G792" s="293"/>
      <c r="H792" s="291"/>
      <c r="I792" s="291"/>
      <c r="J792" s="291"/>
      <c r="K792" s="291"/>
      <c r="L792" s="291"/>
      <c r="M792" s="291"/>
      <c r="N792" s="291"/>
      <c r="O792" s="291"/>
      <c r="P792" s="291"/>
    </row>
    <row r="793" spans="1:16" ht="15">
      <c r="A793" s="291"/>
      <c r="B793" s="291"/>
      <c r="C793" s="291"/>
      <c r="D793" s="291"/>
      <c r="E793" s="291"/>
      <c r="F793" s="291"/>
      <c r="G793" s="293"/>
      <c r="H793" s="291"/>
      <c r="I793" s="291"/>
      <c r="J793" s="291"/>
      <c r="K793" s="291"/>
      <c r="L793" s="291"/>
      <c r="M793" s="291"/>
      <c r="N793" s="291"/>
      <c r="O793" s="291"/>
      <c r="P793" s="291"/>
    </row>
    <row r="794" spans="1:16" ht="15">
      <c r="A794" s="291"/>
      <c r="B794" s="291"/>
      <c r="C794" s="291"/>
      <c r="D794" s="291"/>
      <c r="E794" s="291"/>
      <c r="F794" s="291"/>
      <c r="G794" s="293"/>
      <c r="H794" s="291"/>
      <c r="I794" s="291"/>
      <c r="J794" s="291"/>
      <c r="K794" s="291"/>
      <c r="L794" s="291"/>
      <c r="M794" s="291"/>
      <c r="N794" s="291"/>
      <c r="O794" s="291"/>
      <c r="P794" s="291"/>
    </row>
    <row r="795" spans="1:16" ht="15">
      <c r="A795" s="291"/>
      <c r="B795" s="291"/>
      <c r="C795" s="291"/>
      <c r="D795" s="291"/>
      <c r="E795" s="291"/>
      <c r="F795" s="291"/>
      <c r="G795" s="293"/>
      <c r="H795" s="291"/>
      <c r="I795" s="291"/>
      <c r="J795" s="291"/>
      <c r="K795" s="291"/>
      <c r="L795" s="291"/>
      <c r="M795" s="291"/>
      <c r="N795" s="291"/>
      <c r="O795" s="291"/>
      <c r="P795" s="291"/>
    </row>
    <row r="796" spans="1:16" ht="15">
      <c r="A796" s="291"/>
      <c r="B796" s="291"/>
      <c r="C796" s="291"/>
      <c r="D796" s="291"/>
      <c r="E796" s="291"/>
      <c r="F796" s="291"/>
      <c r="G796" s="293"/>
      <c r="H796" s="291"/>
      <c r="I796" s="291"/>
      <c r="J796" s="291"/>
      <c r="K796" s="291"/>
      <c r="L796" s="291"/>
      <c r="M796" s="291"/>
      <c r="N796" s="291"/>
      <c r="O796" s="291"/>
      <c r="P796" s="291"/>
    </row>
    <row r="797" spans="1:16" ht="15">
      <c r="A797" s="291"/>
      <c r="B797" s="291"/>
      <c r="C797" s="291"/>
      <c r="D797" s="291"/>
      <c r="E797" s="291"/>
      <c r="F797" s="291"/>
      <c r="G797" s="293"/>
      <c r="H797" s="291"/>
      <c r="I797" s="291"/>
      <c r="J797" s="291"/>
      <c r="K797" s="291"/>
      <c r="L797" s="291"/>
      <c r="M797" s="291"/>
      <c r="N797" s="291"/>
      <c r="O797" s="291"/>
      <c r="P797" s="291"/>
    </row>
    <row r="798" spans="1:16" ht="15">
      <c r="A798" s="291"/>
      <c r="B798" s="291"/>
      <c r="C798" s="291"/>
      <c r="D798" s="291"/>
      <c r="E798" s="291"/>
      <c r="F798" s="291"/>
      <c r="G798" s="293"/>
      <c r="H798" s="291"/>
      <c r="I798" s="291"/>
      <c r="J798" s="291"/>
      <c r="K798" s="291"/>
      <c r="L798" s="291"/>
      <c r="M798" s="291"/>
      <c r="N798" s="291"/>
      <c r="O798" s="291"/>
      <c r="P798" s="291"/>
    </row>
    <row r="799" spans="1:16" ht="15">
      <c r="A799" s="291"/>
      <c r="B799" s="291"/>
      <c r="C799" s="291"/>
      <c r="D799" s="291"/>
      <c r="E799" s="291"/>
      <c r="F799" s="291"/>
      <c r="G799" s="293"/>
      <c r="H799" s="291"/>
      <c r="I799" s="291"/>
      <c r="J799" s="291"/>
      <c r="K799" s="291"/>
      <c r="L799" s="291"/>
      <c r="M799" s="291"/>
      <c r="N799" s="291"/>
      <c r="O799" s="291"/>
      <c r="P799" s="291"/>
    </row>
    <row r="800" spans="1:16" ht="15">
      <c r="A800" s="291"/>
      <c r="B800" s="291"/>
      <c r="C800" s="291"/>
      <c r="D800" s="291"/>
      <c r="E800" s="291"/>
      <c r="F800" s="291"/>
      <c r="G800" s="293"/>
      <c r="H800" s="291"/>
      <c r="I800" s="291"/>
      <c r="J800" s="291"/>
      <c r="K800" s="291"/>
      <c r="L800" s="291"/>
      <c r="M800" s="291"/>
      <c r="N800" s="291"/>
      <c r="O800" s="291"/>
      <c r="P800" s="291"/>
    </row>
    <row r="801" spans="1:16" ht="15">
      <c r="A801" s="291"/>
      <c r="B801" s="291"/>
      <c r="C801" s="291"/>
      <c r="D801" s="291"/>
      <c r="E801" s="291"/>
      <c r="F801" s="291"/>
      <c r="G801" s="293"/>
      <c r="H801" s="291"/>
      <c r="I801" s="291"/>
      <c r="J801" s="291"/>
      <c r="K801" s="291"/>
      <c r="L801" s="291"/>
      <c r="M801" s="291"/>
      <c r="N801" s="291"/>
      <c r="O801" s="291"/>
      <c r="P801" s="291"/>
    </row>
    <row r="802" spans="1:16" ht="15">
      <c r="A802" s="291"/>
      <c r="B802" s="291"/>
      <c r="C802" s="291"/>
      <c r="D802" s="291"/>
      <c r="E802" s="291"/>
      <c r="F802" s="291"/>
      <c r="G802" s="293"/>
      <c r="H802" s="291"/>
      <c r="I802" s="291"/>
      <c r="J802" s="291"/>
      <c r="K802" s="291"/>
      <c r="L802" s="291"/>
      <c r="M802" s="291"/>
      <c r="N802" s="291"/>
      <c r="O802" s="291"/>
      <c r="P802" s="291"/>
    </row>
    <row r="803" spans="1:16" ht="15">
      <c r="A803" s="291"/>
      <c r="B803" s="291"/>
      <c r="C803" s="291"/>
      <c r="D803" s="291"/>
      <c r="E803" s="291"/>
      <c r="F803" s="291"/>
      <c r="G803" s="293"/>
      <c r="H803" s="291"/>
      <c r="I803" s="291"/>
      <c r="J803" s="291"/>
      <c r="K803" s="291"/>
      <c r="L803" s="291"/>
      <c r="M803" s="291"/>
      <c r="N803" s="291"/>
      <c r="O803" s="291"/>
      <c r="P803" s="291"/>
    </row>
    <row r="804" spans="1:16" ht="15">
      <c r="A804" s="291"/>
      <c r="B804" s="291"/>
      <c r="C804" s="291"/>
      <c r="D804" s="291"/>
      <c r="E804" s="291"/>
      <c r="F804" s="291"/>
      <c r="G804" s="293"/>
      <c r="H804" s="291"/>
      <c r="I804" s="291"/>
      <c r="J804" s="291"/>
      <c r="K804" s="291"/>
      <c r="L804" s="291"/>
      <c r="M804" s="291"/>
      <c r="N804" s="291"/>
      <c r="O804" s="291"/>
      <c r="P804" s="291"/>
    </row>
    <row r="805" spans="1:16" ht="15">
      <c r="A805" s="291"/>
      <c r="B805" s="291"/>
      <c r="C805" s="291"/>
      <c r="D805" s="291"/>
      <c r="E805" s="291"/>
      <c r="F805" s="291"/>
      <c r="G805" s="293"/>
      <c r="H805" s="291"/>
      <c r="I805" s="291"/>
      <c r="J805" s="291"/>
      <c r="K805" s="291"/>
      <c r="L805" s="291"/>
      <c r="M805" s="291"/>
      <c r="N805" s="291"/>
      <c r="O805" s="291"/>
      <c r="P805" s="291"/>
    </row>
    <row r="806" spans="1:16" ht="15">
      <c r="A806" s="291"/>
      <c r="B806" s="291"/>
      <c r="C806" s="291"/>
      <c r="D806" s="291"/>
      <c r="E806" s="291"/>
      <c r="F806" s="291"/>
      <c r="G806" s="293"/>
      <c r="H806" s="291"/>
      <c r="I806" s="291"/>
      <c r="J806" s="291"/>
      <c r="K806" s="291"/>
      <c r="L806" s="291"/>
      <c r="M806" s="291"/>
      <c r="N806" s="291"/>
      <c r="O806" s="291"/>
      <c r="P806" s="291"/>
    </row>
    <row r="807" spans="1:16" ht="15">
      <c r="A807" s="291"/>
      <c r="B807" s="291"/>
      <c r="C807" s="291"/>
      <c r="D807" s="291"/>
      <c r="E807" s="291"/>
      <c r="F807" s="291"/>
      <c r="G807" s="293"/>
      <c r="H807" s="291"/>
      <c r="I807" s="291"/>
      <c r="J807" s="291"/>
      <c r="K807" s="291"/>
      <c r="L807" s="291"/>
      <c r="M807" s="291"/>
      <c r="N807" s="291"/>
      <c r="O807" s="291"/>
      <c r="P807" s="291"/>
    </row>
    <row r="808" spans="1:16" ht="15">
      <c r="A808" s="291"/>
      <c r="B808" s="291"/>
      <c r="C808" s="291"/>
      <c r="D808" s="291"/>
      <c r="E808" s="291"/>
      <c r="F808" s="291"/>
      <c r="G808" s="293"/>
      <c r="H808" s="291"/>
      <c r="I808" s="291"/>
      <c r="J808" s="291"/>
      <c r="K808" s="291"/>
      <c r="L808" s="291"/>
      <c r="M808" s="291"/>
      <c r="N808" s="291"/>
      <c r="O808" s="291"/>
      <c r="P808" s="291"/>
    </row>
    <row r="809" spans="1:16" ht="15">
      <c r="A809" s="291"/>
      <c r="B809" s="291"/>
      <c r="C809" s="291"/>
      <c r="D809" s="291"/>
      <c r="E809" s="291"/>
      <c r="F809" s="291"/>
      <c r="G809" s="293"/>
      <c r="H809" s="291"/>
      <c r="I809" s="291"/>
      <c r="J809" s="291"/>
      <c r="K809" s="291"/>
      <c r="L809" s="291"/>
      <c r="M809" s="291"/>
      <c r="N809" s="291"/>
      <c r="O809" s="291"/>
      <c r="P809" s="291"/>
    </row>
    <row r="810" spans="1:16" ht="15">
      <c r="A810" s="291"/>
      <c r="B810" s="291"/>
      <c r="C810" s="291"/>
      <c r="D810" s="291"/>
      <c r="E810" s="291"/>
      <c r="F810" s="291"/>
      <c r="G810" s="293"/>
      <c r="H810" s="291"/>
      <c r="I810" s="291"/>
      <c r="J810" s="291"/>
      <c r="K810" s="291"/>
      <c r="L810" s="291"/>
      <c r="M810" s="291"/>
      <c r="N810" s="291"/>
      <c r="O810" s="291"/>
      <c r="P810" s="291"/>
    </row>
    <row r="811" spans="1:16" ht="15">
      <c r="A811" s="291"/>
      <c r="B811" s="291"/>
      <c r="C811" s="291"/>
      <c r="D811" s="291"/>
      <c r="E811" s="291"/>
      <c r="F811" s="291"/>
      <c r="G811" s="293"/>
      <c r="H811" s="291"/>
      <c r="I811" s="291"/>
      <c r="J811" s="291"/>
      <c r="K811" s="291"/>
      <c r="L811" s="291"/>
      <c r="M811" s="291"/>
      <c r="N811" s="291"/>
      <c r="O811" s="291"/>
      <c r="P811" s="291"/>
    </row>
    <row r="812" spans="1:16" ht="15">
      <c r="A812" s="291"/>
      <c r="B812" s="291"/>
      <c r="C812" s="291"/>
      <c r="D812" s="291"/>
      <c r="E812" s="291"/>
      <c r="F812" s="291"/>
      <c r="G812" s="293"/>
      <c r="H812" s="291"/>
      <c r="I812" s="291"/>
      <c r="J812" s="291"/>
      <c r="K812" s="291"/>
      <c r="L812" s="291"/>
      <c r="M812" s="291"/>
      <c r="N812" s="291"/>
      <c r="O812" s="291"/>
      <c r="P812" s="291"/>
    </row>
    <row r="813" spans="1:16" ht="15">
      <c r="A813" s="291"/>
      <c r="B813" s="291"/>
      <c r="C813" s="291"/>
      <c r="D813" s="291"/>
      <c r="E813" s="291"/>
      <c r="F813" s="291"/>
      <c r="G813" s="293"/>
      <c r="H813" s="291"/>
      <c r="I813" s="291"/>
      <c r="J813" s="291"/>
      <c r="K813" s="291"/>
      <c r="L813" s="291"/>
      <c r="M813" s="291"/>
      <c r="N813" s="291"/>
      <c r="O813" s="291"/>
      <c r="P813" s="291"/>
    </row>
    <row r="814" spans="1:16" ht="15">
      <c r="A814" s="291"/>
      <c r="B814" s="291"/>
      <c r="C814" s="291"/>
      <c r="D814" s="291"/>
      <c r="E814" s="291"/>
      <c r="F814" s="291"/>
      <c r="G814" s="293"/>
      <c r="H814" s="291"/>
      <c r="I814" s="291"/>
      <c r="J814" s="291"/>
      <c r="K814" s="291"/>
      <c r="L814" s="291"/>
      <c r="M814" s="291"/>
      <c r="N814" s="291"/>
      <c r="O814" s="291"/>
      <c r="P814" s="291"/>
    </row>
    <row r="815" spans="1:16" ht="15">
      <c r="A815" s="291"/>
      <c r="B815" s="291"/>
      <c r="C815" s="291"/>
      <c r="D815" s="291"/>
      <c r="E815" s="291"/>
      <c r="F815" s="291"/>
      <c r="G815" s="293"/>
      <c r="H815" s="291"/>
      <c r="I815" s="291"/>
      <c r="J815" s="291"/>
      <c r="K815" s="291"/>
      <c r="L815" s="291"/>
      <c r="M815" s="291"/>
      <c r="N815" s="291"/>
      <c r="O815" s="291"/>
      <c r="P815" s="291"/>
    </row>
    <row r="816" spans="1:16" ht="15">
      <c r="A816" s="291"/>
      <c r="B816" s="291"/>
      <c r="C816" s="291"/>
      <c r="D816" s="291"/>
      <c r="E816" s="291"/>
      <c r="F816" s="291"/>
      <c r="G816" s="293"/>
      <c r="H816" s="291"/>
      <c r="I816" s="291"/>
      <c r="J816" s="291"/>
      <c r="K816" s="291"/>
      <c r="L816" s="291"/>
      <c r="M816" s="291"/>
      <c r="N816" s="291"/>
      <c r="O816" s="291"/>
      <c r="P816" s="291"/>
    </row>
    <row r="817" spans="1:16" ht="15">
      <c r="A817" s="291"/>
      <c r="B817" s="291"/>
      <c r="C817" s="291"/>
      <c r="D817" s="291"/>
      <c r="E817" s="291"/>
      <c r="F817" s="291"/>
      <c r="G817" s="293"/>
      <c r="H817" s="291"/>
      <c r="I817" s="291"/>
      <c r="J817" s="291"/>
      <c r="K817" s="291"/>
      <c r="L817" s="291"/>
      <c r="M817" s="291"/>
      <c r="N817" s="291"/>
      <c r="O817" s="291"/>
      <c r="P817" s="291"/>
    </row>
    <row r="818" spans="1:16" ht="15">
      <c r="A818" s="291"/>
      <c r="B818" s="291"/>
      <c r="C818" s="291"/>
      <c r="D818" s="291"/>
      <c r="E818" s="291"/>
      <c r="F818" s="291"/>
      <c r="G818" s="293"/>
      <c r="H818" s="291"/>
      <c r="I818" s="291"/>
      <c r="J818" s="291"/>
      <c r="K818" s="291"/>
      <c r="L818" s="291"/>
      <c r="M818" s="291"/>
      <c r="N818" s="291"/>
      <c r="O818" s="291"/>
      <c r="P818" s="291"/>
    </row>
    <row r="819" spans="1:16" ht="15">
      <c r="A819" s="291"/>
      <c r="B819" s="291"/>
      <c r="C819" s="291"/>
      <c r="D819" s="291"/>
      <c r="E819" s="291"/>
      <c r="F819" s="291"/>
      <c r="G819" s="293"/>
      <c r="H819" s="291"/>
      <c r="I819" s="291"/>
      <c r="J819" s="291"/>
      <c r="K819" s="291"/>
      <c r="L819" s="291"/>
      <c r="M819" s="291"/>
      <c r="N819" s="291"/>
      <c r="O819" s="291"/>
      <c r="P819" s="291"/>
    </row>
    <row r="820" spans="1:16" ht="15">
      <c r="A820" s="291"/>
      <c r="B820" s="291"/>
      <c r="C820" s="291"/>
      <c r="D820" s="291"/>
      <c r="E820" s="291"/>
      <c r="F820" s="291"/>
      <c r="G820" s="293"/>
      <c r="H820" s="291"/>
      <c r="I820" s="291"/>
      <c r="J820" s="291"/>
      <c r="K820" s="291"/>
      <c r="L820" s="291"/>
      <c r="M820" s="291"/>
      <c r="N820" s="291"/>
      <c r="O820" s="291"/>
      <c r="P820" s="291"/>
    </row>
    <row r="821" spans="1:16" ht="15">
      <c r="A821" s="291"/>
      <c r="B821" s="291"/>
      <c r="C821" s="291"/>
      <c r="D821" s="291"/>
      <c r="E821" s="291"/>
      <c r="F821" s="291"/>
      <c r="G821" s="293"/>
      <c r="H821" s="291"/>
      <c r="I821" s="291"/>
      <c r="J821" s="291"/>
      <c r="K821" s="291"/>
      <c r="L821" s="291"/>
      <c r="M821" s="291"/>
      <c r="N821" s="291"/>
      <c r="O821" s="291"/>
      <c r="P821" s="291"/>
    </row>
    <row r="822" spans="1:16" ht="15">
      <c r="A822" s="291"/>
      <c r="B822" s="291"/>
      <c r="C822" s="291"/>
      <c r="D822" s="291"/>
      <c r="E822" s="291"/>
      <c r="F822" s="291"/>
      <c r="G822" s="293"/>
      <c r="H822" s="291"/>
      <c r="I822" s="291"/>
      <c r="J822" s="291"/>
      <c r="K822" s="291"/>
      <c r="L822" s="291"/>
      <c r="M822" s="291"/>
      <c r="N822" s="291"/>
      <c r="O822" s="291"/>
      <c r="P822" s="291"/>
    </row>
    <row r="823" spans="1:16" ht="15">
      <c r="A823" s="291"/>
      <c r="B823" s="291"/>
      <c r="C823" s="291"/>
      <c r="D823" s="291"/>
      <c r="E823" s="291"/>
      <c r="F823" s="291"/>
      <c r="G823" s="293"/>
      <c r="H823" s="291"/>
      <c r="I823" s="291"/>
      <c r="J823" s="291"/>
      <c r="K823" s="291"/>
      <c r="L823" s="291"/>
      <c r="M823" s="291"/>
      <c r="N823" s="291"/>
      <c r="O823" s="291"/>
      <c r="P823" s="291"/>
    </row>
    <row r="824" spans="1:16" ht="15">
      <c r="A824" s="291"/>
      <c r="B824" s="291"/>
      <c r="C824" s="291"/>
      <c r="D824" s="291"/>
      <c r="E824" s="291"/>
      <c r="F824" s="291"/>
      <c r="G824" s="293"/>
      <c r="H824" s="291"/>
      <c r="I824" s="291"/>
      <c r="J824" s="291"/>
      <c r="K824" s="291"/>
      <c r="L824" s="291"/>
      <c r="M824" s="291"/>
      <c r="N824" s="291"/>
      <c r="O824" s="291"/>
      <c r="P824" s="291"/>
    </row>
    <row r="825" spans="1:16" ht="15">
      <c r="A825" s="291"/>
      <c r="B825" s="291"/>
      <c r="C825" s="291"/>
      <c r="D825" s="291"/>
      <c r="E825" s="291"/>
      <c r="F825" s="291"/>
      <c r="G825" s="293"/>
      <c r="H825" s="291"/>
      <c r="I825" s="291"/>
      <c r="J825" s="291"/>
      <c r="K825" s="291"/>
      <c r="L825" s="291"/>
      <c r="M825" s="291"/>
      <c r="N825" s="291"/>
      <c r="O825" s="291"/>
      <c r="P825" s="291"/>
    </row>
    <row r="826" spans="1:16" ht="15">
      <c r="A826" s="291"/>
      <c r="B826" s="291"/>
      <c r="C826" s="291"/>
      <c r="D826" s="291"/>
      <c r="E826" s="291"/>
      <c r="F826" s="291"/>
      <c r="G826" s="293"/>
      <c r="H826" s="291"/>
      <c r="I826" s="291"/>
      <c r="J826" s="291"/>
      <c r="K826" s="291"/>
      <c r="L826" s="291"/>
      <c r="M826" s="291"/>
      <c r="N826" s="291"/>
      <c r="O826" s="291"/>
      <c r="P826" s="291"/>
    </row>
    <row r="827" spans="1:16" ht="15">
      <c r="A827" s="291"/>
      <c r="B827" s="291"/>
      <c r="C827" s="291"/>
      <c r="D827" s="291"/>
      <c r="E827" s="291"/>
      <c r="F827" s="291"/>
      <c r="G827" s="293"/>
      <c r="H827" s="291"/>
      <c r="I827" s="291"/>
      <c r="J827" s="291"/>
      <c r="K827" s="291"/>
      <c r="L827" s="291"/>
      <c r="M827" s="291"/>
      <c r="N827" s="291"/>
      <c r="O827" s="291"/>
      <c r="P827" s="291"/>
    </row>
    <row r="828" spans="1:16" ht="15">
      <c r="A828" s="291"/>
      <c r="B828" s="291"/>
      <c r="C828" s="291"/>
      <c r="D828" s="291"/>
      <c r="E828" s="291"/>
      <c r="F828" s="291"/>
      <c r="G828" s="293"/>
      <c r="H828" s="291"/>
      <c r="I828" s="291"/>
      <c r="J828" s="291"/>
      <c r="K828" s="291"/>
      <c r="L828" s="291"/>
      <c r="M828" s="291"/>
      <c r="N828" s="291"/>
      <c r="O828" s="291"/>
      <c r="P828" s="291"/>
    </row>
    <row r="829" spans="1:16" ht="15">
      <c r="A829" s="291"/>
      <c r="B829" s="291"/>
      <c r="C829" s="291"/>
      <c r="D829" s="291"/>
      <c r="E829" s="291"/>
      <c r="F829" s="291"/>
      <c r="G829" s="293"/>
      <c r="H829" s="291"/>
      <c r="I829" s="291"/>
      <c r="J829" s="291"/>
      <c r="K829" s="291"/>
      <c r="L829" s="291"/>
      <c r="M829" s="291"/>
      <c r="N829" s="291"/>
      <c r="O829" s="291"/>
      <c r="P829" s="291"/>
    </row>
    <row r="830" spans="1:16" ht="15">
      <c r="A830" s="291"/>
      <c r="B830" s="291"/>
      <c r="C830" s="291"/>
      <c r="D830" s="291"/>
      <c r="E830" s="291"/>
      <c r="F830" s="291"/>
      <c r="G830" s="293"/>
      <c r="H830" s="291"/>
      <c r="I830" s="291"/>
      <c r="J830" s="291"/>
      <c r="K830" s="291"/>
      <c r="L830" s="291"/>
      <c r="M830" s="291"/>
      <c r="N830" s="291"/>
      <c r="O830" s="291"/>
      <c r="P830" s="291"/>
    </row>
    <row r="831" spans="1:16" ht="15">
      <c r="A831" s="291"/>
      <c r="B831" s="291"/>
      <c r="C831" s="291"/>
      <c r="D831" s="291"/>
      <c r="E831" s="291"/>
      <c r="F831" s="291"/>
      <c r="G831" s="293"/>
      <c r="H831" s="291"/>
      <c r="I831" s="291"/>
      <c r="J831" s="291"/>
      <c r="K831" s="291"/>
      <c r="L831" s="291"/>
      <c r="M831" s="291"/>
      <c r="N831" s="291"/>
      <c r="O831" s="291"/>
      <c r="P831" s="291"/>
    </row>
    <row r="832" spans="1:16" ht="15">
      <c r="A832" s="291"/>
      <c r="B832" s="291"/>
      <c r="C832" s="291"/>
      <c r="D832" s="291"/>
      <c r="E832" s="291"/>
      <c r="F832" s="291"/>
      <c r="G832" s="293"/>
      <c r="H832" s="291"/>
      <c r="I832" s="291"/>
      <c r="J832" s="291"/>
      <c r="K832" s="291"/>
      <c r="L832" s="291"/>
      <c r="M832" s="291"/>
      <c r="N832" s="291"/>
      <c r="O832" s="291"/>
      <c r="P832" s="291"/>
    </row>
    <row r="833" spans="1:16" ht="15">
      <c r="A833" s="291"/>
      <c r="B833" s="291"/>
      <c r="C833" s="291"/>
      <c r="D833" s="291"/>
      <c r="E833" s="291"/>
      <c r="F833" s="291"/>
      <c r="G833" s="293"/>
      <c r="H833" s="291"/>
      <c r="I833" s="291"/>
      <c r="J833" s="291"/>
      <c r="K833" s="291"/>
      <c r="L833" s="291"/>
      <c r="M833" s="291"/>
      <c r="N833" s="291"/>
      <c r="O833" s="291"/>
      <c r="P833" s="291"/>
    </row>
    <row r="834" spans="1:16" ht="15">
      <c r="A834" s="291"/>
      <c r="B834" s="291"/>
      <c r="C834" s="291"/>
      <c r="D834" s="291"/>
      <c r="E834" s="291"/>
      <c r="F834" s="291"/>
      <c r="G834" s="293"/>
      <c r="H834" s="291"/>
      <c r="I834" s="291"/>
      <c r="J834" s="291"/>
      <c r="K834" s="291"/>
      <c r="L834" s="291"/>
      <c r="M834" s="291"/>
      <c r="N834" s="291"/>
      <c r="O834" s="291"/>
      <c r="P834" s="291"/>
    </row>
    <row r="835" spans="1:16" ht="15">
      <c r="A835" s="291"/>
      <c r="B835" s="291"/>
      <c r="C835" s="291"/>
      <c r="D835" s="291"/>
      <c r="E835" s="291"/>
      <c r="F835" s="291"/>
      <c r="G835" s="293"/>
      <c r="H835" s="291"/>
      <c r="I835" s="291"/>
      <c r="J835" s="291"/>
      <c r="K835" s="291"/>
      <c r="L835" s="291"/>
      <c r="M835" s="291"/>
      <c r="N835" s="291"/>
      <c r="O835" s="291"/>
      <c r="P835" s="291"/>
    </row>
    <row r="836" spans="1:16" ht="15">
      <c r="A836" s="291"/>
      <c r="B836" s="291"/>
      <c r="C836" s="291"/>
      <c r="D836" s="291"/>
      <c r="E836" s="291"/>
      <c r="F836" s="291"/>
      <c r="G836" s="293"/>
      <c r="H836" s="291"/>
      <c r="I836" s="291"/>
      <c r="J836" s="291"/>
      <c r="K836" s="291"/>
      <c r="L836" s="291"/>
      <c r="M836" s="291"/>
      <c r="N836" s="291"/>
      <c r="O836" s="291"/>
      <c r="P836" s="291"/>
    </row>
    <row r="837" spans="1:16" ht="15">
      <c r="A837" s="291"/>
      <c r="B837" s="291"/>
      <c r="C837" s="291"/>
      <c r="D837" s="291"/>
      <c r="E837" s="291"/>
      <c r="F837" s="291"/>
      <c r="G837" s="293"/>
      <c r="H837" s="291"/>
      <c r="I837" s="291"/>
      <c r="J837" s="291"/>
      <c r="K837" s="291"/>
      <c r="L837" s="291"/>
      <c r="M837" s="291"/>
      <c r="N837" s="291"/>
      <c r="O837" s="291"/>
      <c r="P837" s="291"/>
    </row>
    <row r="838" spans="1:16" ht="15">
      <c r="A838" s="291"/>
      <c r="B838" s="291"/>
      <c r="C838" s="291"/>
      <c r="D838" s="291"/>
      <c r="E838" s="291"/>
      <c r="F838" s="291"/>
      <c r="G838" s="293"/>
      <c r="H838" s="291"/>
      <c r="I838" s="291"/>
      <c r="J838" s="291"/>
      <c r="K838" s="291"/>
      <c r="L838" s="291"/>
      <c r="M838" s="291"/>
      <c r="N838" s="291"/>
      <c r="O838" s="291"/>
      <c r="P838" s="291"/>
    </row>
    <row r="839" spans="1:16" ht="15">
      <c r="A839" s="291"/>
      <c r="B839" s="291"/>
      <c r="C839" s="291"/>
      <c r="D839" s="291"/>
      <c r="E839" s="291"/>
      <c r="F839" s="291"/>
      <c r="G839" s="293"/>
      <c r="H839" s="291"/>
      <c r="I839" s="291"/>
      <c r="J839" s="291"/>
      <c r="K839" s="291"/>
      <c r="L839" s="291"/>
      <c r="M839" s="291"/>
      <c r="N839" s="291"/>
      <c r="O839" s="291"/>
      <c r="P839" s="291"/>
    </row>
    <row r="840" spans="1:16" ht="15">
      <c r="A840" s="291"/>
      <c r="B840" s="291"/>
      <c r="C840" s="291"/>
      <c r="D840" s="291"/>
      <c r="E840" s="291"/>
      <c r="F840" s="291"/>
      <c r="G840" s="293"/>
      <c r="H840" s="291"/>
      <c r="I840" s="291"/>
      <c r="J840" s="291"/>
      <c r="K840" s="291"/>
      <c r="L840" s="291"/>
      <c r="M840" s="291"/>
      <c r="N840" s="291"/>
      <c r="O840" s="291"/>
      <c r="P840" s="291"/>
    </row>
    <row r="841" spans="1:16" ht="15">
      <c r="A841" s="291"/>
      <c r="B841" s="291"/>
      <c r="C841" s="291"/>
      <c r="D841" s="291"/>
      <c r="E841" s="291"/>
      <c r="F841" s="291"/>
      <c r="G841" s="293"/>
      <c r="H841" s="291"/>
      <c r="I841" s="291"/>
      <c r="J841" s="291"/>
      <c r="K841" s="291"/>
      <c r="L841" s="291"/>
      <c r="M841" s="291"/>
      <c r="N841" s="291"/>
      <c r="O841" s="291"/>
      <c r="P841" s="291"/>
    </row>
    <row r="842" spans="1:16" ht="15">
      <c r="A842" s="291"/>
      <c r="B842" s="291"/>
      <c r="C842" s="291"/>
      <c r="D842" s="291"/>
      <c r="E842" s="291"/>
      <c r="F842" s="291"/>
      <c r="G842" s="293"/>
      <c r="H842" s="291"/>
      <c r="I842" s="291"/>
      <c r="J842" s="291"/>
      <c r="K842" s="291"/>
      <c r="L842" s="291"/>
      <c r="M842" s="291"/>
      <c r="N842" s="291"/>
      <c r="O842" s="291"/>
      <c r="P842" s="291"/>
    </row>
    <row r="843" spans="1:16" ht="15">
      <c r="A843" s="291"/>
      <c r="B843" s="291"/>
      <c r="C843" s="291"/>
      <c r="D843" s="291"/>
      <c r="E843" s="291"/>
      <c r="F843" s="291"/>
      <c r="G843" s="293"/>
      <c r="H843" s="291"/>
      <c r="I843" s="291"/>
      <c r="J843" s="291"/>
      <c r="K843" s="291"/>
      <c r="L843" s="291"/>
      <c r="M843" s="291"/>
      <c r="N843" s="291"/>
      <c r="O843" s="291"/>
      <c r="P843" s="291"/>
    </row>
    <row r="844" spans="1:16" ht="15">
      <c r="A844" s="291"/>
      <c r="B844" s="291"/>
      <c r="C844" s="291"/>
      <c r="D844" s="291"/>
      <c r="E844" s="291"/>
      <c r="F844" s="291"/>
      <c r="G844" s="293"/>
      <c r="H844" s="291"/>
      <c r="I844" s="291"/>
      <c r="J844" s="291"/>
      <c r="K844" s="291"/>
      <c r="L844" s="291"/>
      <c r="M844" s="291"/>
      <c r="N844" s="291"/>
      <c r="O844" s="291"/>
      <c r="P844" s="291"/>
    </row>
    <row r="845" spans="1:16" ht="15">
      <c r="A845" s="291"/>
      <c r="B845" s="291"/>
      <c r="C845" s="291"/>
      <c r="D845" s="291"/>
      <c r="E845" s="291"/>
      <c r="F845" s="291"/>
      <c r="G845" s="293"/>
      <c r="H845" s="291"/>
      <c r="I845" s="291"/>
      <c r="J845" s="291"/>
      <c r="K845" s="291"/>
      <c r="L845" s="291"/>
      <c r="M845" s="291"/>
      <c r="N845" s="291"/>
      <c r="O845" s="291"/>
      <c r="P845" s="291"/>
    </row>
    <row r="846" spans="1:16" ht="15">
      <c r="A846" s="291"/>
      <c r="B846" s="291"/>
      <c r="C846" s="291"/>
      <c r="D846" s="291"/>
      <c r="E846" s="291"/>
      <c r="F846" s="291"/>
      <c r="G846" s="293"/>
      <c r="H846" s="291"/>
      <c r="I846" s="291"/>
      <c r="J846" s="291"/>
      <c r="K846" s="291"/>
      <c r="L846" s="291"/>
      <c r="M846" s="291"/>
      <c r="N846" s="291"/>
      <c r="O846" s="291"/>
      <c r="P846" s="291"/>
    </row>
    <row r="847" spans="1:16" ht="15">
      <c r="A847" s="291"/>
      <c r="B847" s="291"/>
      <c r="C847" s="291"/>
      <c r="D847" s="291"/>
      <c r="E847" s="291"/>
      <c r="F847" s="291"/>
      <c r="G847" s="293"/>
      <c r="H847" s="291"/>
      <c r="I847" s="291"/>
      <c r="J847" s="291"/>
      <c r="K847" s="291"/>
      <c r="L847" s="291"/>
      <c r="M847" s="291"/>
      <c r="N847" s="291"/>
      <c r="O847" s="291"/>
      <c r="P847" s="291"/>
    </row>
    <row r="848" spans="1:16" ht="15">
      <c r="A848" s="291"/>
      <c r="B848" s="291"/>
      <c r="C848" s="291"/>
      <c r="D848" s="291"/>
      <c r="E848" s="291"/>
      <c r="F848" s="291"/>
      <c r="G848" s="293"/>
      <c r="H848" s="291"/>
      <c r="I848" s="291"/>
      <c r="J848" s="291"/>
      <c r="K848" s="291"/>
      <c r="L848" s="291"/>
      <c r="M848" s="291"/>
      <c r="N848" s="291"/>
      <c r="O848" s="291"/>
      <c r="P848" s="291"/>
    </row>
    <row r="849" spans="1:16" ht="15">
      <c r="A849" s="291"/>
      <c r="B849" s="291"/>
      <c r="C849" s="291"/>
      <c r="D849" s="291"/>
      <c r="E849" s="291"/>
      <c r="F849" s="291"/>
      <c r="G849" s="293"/>
      <c r="H849" s="291"/>
      <c r="I849" s="291"/>
      <c r="J849" s="291"/>
      <c r="K849" s="291"/>
      <c r="L849" s="291"/>
      <c r="M849" s="291"/>
      <c r="N849" s="291"/>
      <c r="O849" s="291"/>
      <c r="P849" s="291"/>
    </row>
    <row r="850" spans="1:16" ht="15">
      <c r="A850" s="291"/>
      <c r="B850" s="291"/>
      <c r="C850" s="291"/>
      <c r="D850" s="291"/>
      <c r="E850" s="291"/>
      <c r="F850" s="291"/>
      <c r="G850" s="293"/>
      <c r="H850" s="291"/>
      <c r="I850" s="291"/>
      <c r="J850" s="291"/>
      <c r="K850" s="291"/>
      <c r="L850" s="291"/>
      <c r="M850" s="291"/>
      <c r="N850" s="291"/>
      <c r="O850" s="291"/>
      <c r="P850" s="291"/>
    </row>
    <row r="851" spans="1:16" ht="15">
      <c r="A851" s="291"/>
      <c r="B851" s="291"/>
      <c r="C851" s="291"/>
      <c r="D851" s="291"/>
      <c r="E851" s="291"/>
      <c r="F851" s="291"/>
      <c r="G851" s="293"/>
      <c r="H851" s="291"/>
      <c r="I851" s="291"/>
      <c r="J851" s="291"/>
      <c r="K851" s="291"/>
      <c r="L851" s="291"/>
      <c r="M851" s="291"/>
      <c r="N851" s="291"/>
      <c r="O851" s="291"/>
      <c r="P851" s="291"/>
    </row>
    <row r="852" spans="1:16" ht="15">
      <c r="A852" s="291"/>
      <c r="B852" s="291"/>
      <c r="C852" s="291"/>
      <c r="D852" s="291"/>
      <c r="E852" s="291"/>
      <c r="F852" s="291"/>
      <c r="G852" s="293"/>
      <c r="H852" s="291"/>
      <c r="I852" s="291"/>
      <c r="J852" s="291"/>
      <c r="K852" s="291"/>
      <c r="L852" s="291"/>
      <c r="M852" s="291"/>
      <c r="N852" s="291"/>
      <c r="O852" s="291"/>
      <c r="P852" s="291"/>
    </row>
    <row r="853" spans="1:16" ht="15">
      <c r="A853" s="291"/>
      <c r="B853" s="291"/>
      <c r="C853" s="291"/>
      <c r="D853" s="291"/>
      <c r="E853" s="291"/>
      <c r="F853" s="291"/>
      <c r="G853" s="293"/>
      <c r="H853" s="291"/>
      <c r="I853" s="291"/>
      <c r="J853" s="291"/>
      <c r="K853" s="291"/>
      <c r="L853" s="291"/>
      <c r="M853" s="291"/>
      <c r="N853" s="291"/>
      <c r="O853" s="291"/>
      <c r="P853" s="291"/>
    </row>
    <row r="854" spans="1:16" ht="15">
      <c r="A854" s="291"/>
      <c r="B854" s="291"/>
      <c r="C854" s="291"/>
      <c r="D854" s="291"/>
      <c r="E854" s="291"/>
      <c r="F854" s="291"/>
      <c r="G854" s="293"/>
      <c r="H854" s="291"/>
      <c r="I854" s="291"/>
      <c r="J854" s="291"/>
      <c r="K854" s="291"/>
      <c r="L854" s="291"/>
      <c r="M854" s="291"/>
      <c r="N854" s="291"/>
      <c r="O854" s="291"/>
      <c r="P854" s="291"/>
    </row>
    <row r="855" spans="1:16" ht="15">
      <c r="A855" s="291"/>
      <c r="B855" s="291"/>
      <c r="C855" s="291"/>
      <c r="D855" s="291"/>
      <c r="E855" s="291"/>
      <c r="F855" s="291"/>
      <c r="G855" s="293"/>
      <c r="H855" s="291"/>
      <c r="I855" s="291"/>
      <c r="J855" s="291"/>
      <c r="K855" s="291"/>
      <c r="L855" s="291"/>
      <c r="M855" s="291"/>
      <c r="N855" s="291"/>
      <c r="O855" s="291"/>
      <c r="P855" s="291"/>
    </row>
    <row r="856" spans="1:16" ht="15">
      <c r="A856" s="291"/>
      <c r="B856" s="291"/>
      <c r="C856" s="291"/>
      <c r="D856" s="291"/>
      <c r="E856" s="291"/>
      <c r="F856" s="291"/>
      <c r="G856" s="293"/>
      <c r="H856" s="291"/>
      <c r="I856" s="291"/>
      <c r="J856" s="291"/>
      <c r="K856" s="291"/>
      <c r="L856" s="291"/>
      <c r="M856" s="291"/>
      <c r="N856" s="291"/>
      <c r="O856" s="291"/>
      <c r="P856" s="291"/>
    </row>
    <row r="857" spans="1:16" ht="15">
      <c r="A857" s="291"/>
      <c r="B857" s="291"/>
      <c r="C857" s="291"/>
      <c r="D857" s="291"/>
      <c r="E857" s="291"/>
      <c r="F857" s="291"/>
      <c r="G857" s="293"/>
      <c r="H857" s="291"/>
      <c r="I857" s="291"/>
      <c r="J857" s="291"/>
      <c r="K857" s="291"/>
      <c r="L857" s="291"/>
      <c r="M857" s="291"/>
      <c r="N857" s="291"/>
      <c r="O857" s="291"/>
      <c r="P857" s="291"/>
    </row>
    <row r="858" spans="1:16" ht="15">
      <c r="A858" s="291"/>
      <c r="B858" s="291"/>
      <c r="C858" s="291"/>
      <c r="D858" s="291"/>
      <c r="E858" s="291"/>
      <c r="F858" s="291"/>
      <c r="G858" s="293"/>
      <c r="H858" s="291"/>
      <c r="I858" s="291"/>
      <c r="J858" s="291"/>
      <c r="K858" s="291"/>
      <c r="L858" s="291"/>
      <c r="M858" s="291"/>
      <c r="N858" s="291"/>
      <c r="O858" s="291"/>
      <c r="P858" s="291"/>
    </row>
    <row r="859" spans="1:16" ht="15">
      <c r="A859" s="291"/>
      <c r="B859" s="291"/>
      <c r="C859" s="291"/>
      <c r="D859" s="291"/>
      <c r="E859" s="291"/>
      <c r="F859" s="291"/>
      <c r="G859" s="293"/>
      <c r="H859" s="291"/>
      <c r="I859" s="291"/>
      <c r="J859" s="291"/>
      <c r="K859" s="291"/>
      <c r="L859" s="291"/>
      <c r="M859" s="291"/>
      <c r="N859" s="291"/>
      <c r="O859" s="291"/>
      <c r="P859" s="291"/>
    </row>
    <row r="860" spans="1:16" ht="15">
      <c r="A860" s="291"/>
      <c r="B860" s="291"/>
      <c r="C860" s="291"/>
      <c r="D860" s="291"/>
      <c r="E860" s="291"/>
      <c r="F860" s="291"/>
      <c r="G860" s="293"/>
      <c r="H860" s="291"/>
      <c r="I860" s="291"/>
      <c r="J860" s="291"/>
      <c r="K860" s="291"/>
      <c r="L860" s="291"/>
      <c r="M860" s="291"/>
      <c r="N860" s="291"/>
      <c r="O860" s="291"/>
      <c r="P860" s="291"/>
    </row>
    <row r="861" spans="1:16" ht="15">
      <c r="A861" s="291"/>
      <c r="B861" s="291"/>
      <c r="C861" s="291"/>
      <c r="D861" s="291"/>
      <c r="E861" s="291"/>
      <c r="F861" s="291"/>
      <c r="G861" s="293"/>
      <c r="H861" s="291"/>
      <c r="I861" s="291"/>
      <c r="J861" s="291"/>
      <c r="K861" s="291"/>
      <c r="L861" s="291"/>
      <c r="M861" s="291"/>
      <c r="N861" s="291"/>
      <c r="O861" s="291"/>
      <c r="P861" s="291"/>
    </row>
    <row r="862" spans="1:16" ht="15">
      <c r="A862" s="291"/>
      <c r="B862" s="291"/>
      <c r="C862" s="291"/>
      <c r="D862" s="291"/>
      <c r="E862" s="291"/>
      <c r="F862" s="291"/>
      <c r="G862" s="293"/>
      <c r="H862" s="291"/>
      <c r="I862" s="291"/>
      <c r="J862" s="291"/>
      <c r="K862" s="291"/>
      <c r="L862" s="291"/>
      <c r="M862" s="291"/>
      <c r="N862" s="291"/>
      <c r="O862" s="291"/>
      <c r="P862" s="291"/>
    </row>
    <row r="863" spans="1:16" ht="15">
      <c r="A863" s="291"/>
      <c r="B863" s="291"/>
      <c r="C863" s="291"/>
      <c r="D863" s="291"/>
      <c r="E863" s="291"/>
      <c r="F863" s="291"/>
      <c r="G863" s="293"/>
      <c r="H863" s="291"/>
      <c r="I863" s="291"/>
      <c r="J863" s="291"/>
      <c r="K863" s="291"/>
      <c r="L863" s="291"/>
      <c r="M863" s="291"/>
      <c r="N863" s="291"/>
      <c r="O863" s="291"/>
      <c r="P863" s="291"/>
    </row>
    <row r="864" spans="1:16" ht="15">
      <c r="A864" s="291"/>
      <c r="B864" s="291"/>
      <c r="C864" s="291"/>
      <c r="D864" s="291"/>
      <c r="E864" s="291"/>
      <c r="F864" s="291"/>
      <c r="G864" s="293"/>
      <c r="H864" s="291"/>
      <c r="I864" s="291"/>
      <c r="J864" s="291"/>
      <c r="K864" s="291"/>
      <c r="L864" s="291"/>
      <c r="M864" s="291"/>
      <c r="N864" s="291"/>
      <c r="O864" s="291"/>
      <c r="P864" s="291"/>
    </row>
    <row r="865" spans="1:16" ht="15">
      <c r="A865" s="291"/>
      <c r="B865" s="291"/>
      <c r="C865" s="291"/>
      <c r="D865" s="291"/>
      <c r="E865" s="291"/>
      <c r="F865" s="291"/>
      <c r="G865" s="293"/>
      <c r="H865" s="291"/>
      <c r="I865" s="291"/>
      <c r="J865" s="291"/>
      <c r="K865" s="291"/>
      <c r="L865" s="291"/>
      <c r="M865" s="291"/>
      <c r="N865" s="291"/>
      <c r="O865" s="291"/>
      <c r="P865" s="291"/>
    </row>
    <row r="866" spans="1:16" ht="15">
      <c r="A866" s="291"/>
      <c r="B866" s="291"/>
      <c r="C866" s="291"/>
      <c r="D866" s="291"/>
      <c r="E866" s="291"/>
      <c r="F866" s="291"/>
      <c r="G866" s="293"/>
      <c r="H866" s="291"/>
      <c r="I866" s="291"/>
      <c r="J866" s="291"/>
      <c r="K866" s="291"/>
      <c r="L866" s="291"/>
      <c r="M866" s="291"/>
      <c r="N866" s="291"/>
      <c r="O866" s="291"/>
      <c r="P866" s="291"/>
    </row>
    <row r="867" spans="1:16" ht="15">
      <c r="A867" s="291"/>
      <c r="B867" s="291"/>
      <c r="C867" s="291"/>
      <c r="D867" s="291"/>
      <c r="E867" s="291"/>
      <c r="F867" s="291"/>
      <c r="G867" s="293"/>
      <c r="H867" s="291"/>
      <c r="I867" s="291"/>
      <c r="J867" s="291"/>
      <c r="K867" s="291"/>
      <c r="L867" s="291"/>
      <c r="M867" s="291"/>
      <c r="N867" s="291"/>
      <c r="O867" s="291"/>
      <c r="P867" s="291"/>
    </row>
    <row r="868" spans="1:16" ht="15">
      <c r="A868" s="291"/>
      <c r="B868" s="291"/>
      <c r="C868" s="291"/>
      <c r="D868" s="291"/>
      <c r="E868" s="291"/>
      <c r="F868" s="291"/>
      <c r="G868" s="293"/>
      <c r="H868" s="291"/>
      <c r="I868" s="291"/>
      <c r="J868" s="291"/>
      <c r="K868" s="291"/>
      <c r="L868" s="291"/>
      <c r="M868" s="291"/>
      <c r="N868" s="291"/>
      <c r="O868" s="291"/>
      <c r="P868" s="291"/>
    </row>
    <row r="869" spans="1:16" ht="15">
      <c r="A869" s="291"/>
      <c r="B869" s="291"/>
      <c r="C869" s="291"/>
      <c r="D869" s="291"/>
      <c r="E869" s="291"/>
      <c r="F869" s="291"/>
      <c r="G869" s="293"/>
      <c r="H869" s="291"/>
      <c r="I869" s="291"/>
      <c r="J869" s="291"/>
      <c r="K869" s="291"/>
      <c r="L869" s="291"/>
      <c r="M869" s="291"/>
      <c r="N869" s="291"/>
      <c r="O869" s="291"/>
      <c r="P869" s="291"/>
    </row>
    <row r="870" spans="1:16" ht="15">
      <c r="A870" s="291"/>
      <c r="B870" s="291"/>
      <c r="C870" s="291"/>
      <c r="D870" s="291"/>
      <c r="E870" s="291"/>
      <c r="F870" s="291"/>
      <c r="G870" s="293"/>
      <c r="H870" s="291"/>
      <c r="I870" s="291"/>
      <c r="J870" s="291"/>
      <c r="K870" s="291"/>
      <c r="L870" s="291"/>
      <c r="M870" s="291"/>
      <c r="N870" s="291"/>
      <c r="O870" s="291"/>
      <c r="P870" s="291"/>
    </row>
    <row r="871" spans="1:16" ht="15">
      <c r="A871" s="291"/>
      <c r="B871" s="291"/>
      <c r="C871" s="291"/>
      <c r="D871" s="291"/>
      <c r="E871" s="291"/>
      <c r="F871" s="291"/>
      <c r="G871" s="293"/>
      <c r="H871" s="291"/>
      <c r="I871" s="291"/>
      <c r="J871" s="291"/>
      <c r="K871" s="291"/>
      <c r="L871" s="291"/>
      <c r="M871" s="291"/>
      <c r="N871" s="291"/>
      <c r="O871" s="291"/>
      <c r="P871" s="291"/>
    </row>
    <row r="872" spans="1:16" ht="15">
      <c r="A872" s="291"/>
      <c r="B872" s="291"/>
      <c r="C872" s="291"/>
      <c r="D872" s="291"/>
      <c r="E872" s="291"/>
      <c r="F872" s="291"/>
      <c r="G872" s="293"/>
      <c r="H872" s="291"/>
      <c r="I872" s="291"/>
      <c r="J872" s="291"/>
      <c r="K872" s="291"/>
      <c r="L872" s="291"/>
      <c r="M872" s="291"/>
      <c r="N872" s="291"/>
      <c r="O872" s="291"/>
      <c r="P872" s="291"/>
    </row>
    <row r="873" spans="1:16" ht="15">
      <c r="A873" s="291"/>
      <c r="B873" s="291"/>
      <c r="C873" s="291"/>
      <c r="D873" s="291"/>
      <c r="E873" s="291"/>
      <c r="F873" s="291"/>
      <c r="G873" s="293"/>
      <c r="H873" s="291"/>
      <c r="I873" s="291"/>
      <c r="J873" s="291"/>
      <c r="K873" s="291"/>
      <c r="L873" s="291"/>
      <c r="M873" s="291"/>
      <c r="N873" s="291"/>
      <c r="O873" s="291"/>
      <c r="P873" s="291"/>
    </row>
    <row r="874" spans="1:16" ht="15">
      <c r="A874" s="291"/>
      <c r="B874" s="291"/>
      <c r="C874" s="291"/>
      <c r="D874" s="291"/>
      <c r="E874" s="291"/>
      <c r="F874" s="291"/>
      <c r="G874" s="293"/>
      <c r="H874" s="291"/>
      <c r="I874" s="291"/>
      <c r="J874" s="291"/>
      <c r="K874" s="291"/>
      <c r="L874" s="291"/>
      <c r="M874" s="291"/>
      <c r="N874" s="291"/>
      <c r="O874" s="291"/>
      <c r="P874" s="291"/>
    </row>
    <row r="875" spans="1:16" ht="15">
      <c r="A875" s="291"/>
      <c r="B875" s="291"/>
      <c r="C875" s="291"/>
      <c r="D875" s="291"/>
      <c r="E875" s="291"/>
      <c r="F875" s="291"/>
      <c r="G875" s="293"/>
      <c r="H875" s="291"/>
      <c r="I875" s="291"/>
      <c r="J875" s="291"/>
      <c r="K875" s="291"/>
      <c r="L875" s="291"/>
      <c r="M875" s="291"/>
      <c r="N875" s="291"/>
      <c r="O875" s="291"/>
      <c r="P875" s="291"/>
    </row>
    <row r="876" spans="1:16" ht="15">
      <c r="A876" s="291"/>
      <c r="B876" s="291"/>
      <c r="C876" s="291"/>
      <c r="D876" s="291"/>
      <c r="E876" s="291"/>
      <c r="F876" s="291"/>
      <c r="G876" s="293"/>
      <c r="H876" s="291"/>
      <c r="I876" s="291"/>
      <c r="J876" s="291"/>
      <c r="K876" s="291"/>
      <c r="L876" s="291"/>
      <c r="M876" s="291"/>
      <c r="N876" s="291"/>
      <c r="O876" s="291"/>
      <c r="P876" s="291"/>
    </row>
    <row r="877" spans="1:16" ht="15">
      <c r="A877" s="291"/>
      <c r="B877" s="291"/>
      <c r="C877" s="291"/>
      <c r="D877" s="291"/>
      <c r="E877" s="291"/>
      <c r="F877" s="291"/>
      <c r="G877" s="293"/>
      <c r="H877" s="291"/>
      <c r="I877" s="291"/>
      <c r="J877" s="291"/>
      <c r="K877" s="291"/>
      <c r="L877" s="291"/>
      <c r="M877" s="291"/>
      <c r="N877" s="291"/>
      <c r="O877" s="291"/>
      <c r="P877" s="291"/>
    </row>
    <row r="878" spans="1:16" ht="15">
      <c r="A878" s="291"/>
      <c r="B878" s="291"/>
      <c r="C878" s="291"/>
      <c r="D878" s="291"/>
      <c r="E878" s="291"/>
      <c r="F878" s="291"/>
      <c r="G878" s="293"/>
      <c r="H878" s="291"/>
      <c r="I878" s="291"/>
      <c r="J878" s="291"/>
      <c r="K878" s="291"/>
      <c r="L878" s="291"/>
      <c r="M878" s="291"/>
      <c r="N878" s="291"/>
      <c r="O878" s="291"/>
      <c r="P878" s="291"/>
    </row>
    <row r="879" spans="1:16" ht="15">
      <c r="A879" s="291"/>
      <c r="B879" s="291"/>
      <c r="C879" s="291"/>
      <c r="D879" s="291"/>
      <c r="E879" s="291"/>
      <c r="F879" s="291"/>
      <c r="G879" s="293"/>
      <c r="H879" s="291"/>
      <c r="I879" s="291"/>
      <c r="J879" s="291"/>
      <c r="K879" s="291"/>
      <c r="L879" s="291"/>
      <c r="M879" s="291"/>
      <c r="N879" s="291"/>
      <c r="O879" s="291"/>
      <c r="P879" s="291"/>
    </row>
    <row r="880" spans="1:16" ht="15">
      <c r="A880" s="291"/>
      <c r="B880" s="291"/>
      <c r="C880" s="291"/>
      <c r="D880" s="291"/>
      <c r="E880" s="291"/>
      <c r="F880" s="291"/>
      <c r="G880" s="293"/>
      <c r="H880" s="291"/>
      <c r="I880" s="291"/>
      <c r="J880" s="291"/>
      <c r="K880" s="291"/>
      <c r="L880" s="291"/>
      <c r="M880" s="291"/>
      <c r="N880" s="291"/>
      <c r="O880" s="291"/>
      <c r="P880" s="291"/>
    </row>
    <row r="881" spans="1:16" ht="15">
      <c r="A881" s="291"/>
      <c r="B881" s="291"/>
      <c r="C881" s="291"/>
      <c r="D881" s="291"/>
      <c r="E881" s="291"/>
      <c r="F881" s="291"/>
      <c r="G881" s="293"/>
      <c r="H881" s="291"/>
      <c r="I881" s="291"/>
      <c r="J881" s="291"/>
      <c r="K881" s="291"/>
      <c r="L881" s="291"/>
      <c r="M881" s="291"/>
      <c r="N881" s="291"/>
      <c r="O881" s="291"/>
      <c r="P881" s="291"/>
    </row>
    <row r="882" spans="1:16" ht="15">
      <c r="A882" s="291"/>
      <c r="B882" s="291"/>
      <c r="C882" s="291"/>
      <c r="D882" s="291"/>
      <c r="E882" s="291"/>
      <c r="F882" s="291"/>
      <c r="G882" s="293"/>
      <c r="H882" s="291"/>
      <c r="I882" s="291"/>
      <c r="J882" s="291"/>
      <c r="K882" s="291"/>
      <c r="L882" s="291"/>
      <c r="M882" s="291"/>
      <c r="N882" s="291"/>
      <c r="O882" s="291"/>
      <c r="P882" s="291"/>
    </row>
    <row r="883" spans="1:16" ht="15">
      <c r="A883" s="291"/>
      <c r="B883" s="291"/>
      <c r="C883" s="291"/>
      <c r="D883" s="291"/>
      <c r="E883" s="291"/>
      <c r="F883" s="291"/>
      <c r="G883" s="293"/>
      <c r="H883" s="291"/>
      <c r="I883" s="291"/>
      <c r="J883" s="291"/>
      <c r="K883" s="291"/>
      <c r="L883" s="291"/>
      <c r="M883" s="291"/>
      <c r="N883" s="291"/>
      <c r="O883" s="291"/>
      <c r="P883" s="291"/>
    </row>
    <row r="884" spans="1:16" ht="15">
      <c r="A884" s="291"/>
      <c r="B884" s="291"/>
      <c r="C884" s="291"/>
      <c r="D884" s="291"/>
      <c r="E884" s="291"/>
      <c r="F884" s="291"/>
      <c r="G884" s="293"/>
      <c r="H884" s="291"/>
      <c r="I884" s="291"/>
      <c r="J884" s="291"/>
      <c r="K884" s="291"/>
      <c r="L884" s="291"/>
      <c r="M884" s="291"/>
      <c r="N884" s="291"/>
      <c r="O884" s="291"/>
      <c r="P884" s="291"/>
    </row>
    <row r="885" spans="1:16" ht="15">
      <c r="A885" s="291"/>
      <c r="B885" s="291"/>
      <c r="C885" s="291"/>
      <c r="D885" s="291"/>
      <c r="E885" s="291"/>
      <c r="F885" s="291"/>
      <c r="G885" s="293"/>
      <c r="H885" s="291"/>
      <c r="I885" s="291"/>
      <c r="J885" s="291"/>
      <c r="K885" s="291"/>
      <c r="L885" s="291"/>
      <c r="M885" s="291"/>
      <c r="N885" s="291"/>
      <c r="O885" s="291"/>
      <c r="P885" s="291"/>
    </row>
    <row r="886" spans="1:16" ht="15">
      <c r="A886" s="291"/>
      <c r="B886" s="291"/>
      <c r="C886" s="291"/>
      <c r="D886" s="291"/>
      <c r="E886" s="291"/>
      <c r="F886" s="291"/>
      <c r="G886" s="293"/>
      <c r="H886" s="291"/>
      <c r="I886" s="291"/>
      <c r="J886" s="291"/>
      <c r="K886" s="291"/>
      <c r="L886" s="291"/>
      <c r="M886" s="291"/>
      <c r="N886" s="291"/>
      <c r="O886" s="291"/>
      <c r="P886" s="291"/>
    </row>
    <row r="887" spans="1:16" ht="15">
      <c r="A887" s="291"/>
      <c r="B887" s="291"/>
      <c r="C887" s="291"/>
      <c r="D887" s="291"/>
      <c r="E887" s="291"/>
      <c r="F887" s="291"/>
      <c r="G887" s="293"/>
      <c r="H887" s="291"/>
      <c r="I887" s="291"/>
      <c r="J887" s="291"/>
      <c r="K887" s="291"/>
      <c r="L887" s="291"/>
      <c r="M887" s="291"/>
      <c r="N887" s="291"/>
      <c r="O887" s="291"/>
      <c r="P887" s="291"/>
    </row>
    <row r="888" spans="1:16" ht="15">
      <c r="A888" s="291"/>
      <c r="B888" s="291"/>
      <c r="C888" s="291"/>
      <c r="D888" s="291"/>
      <c r="E888" s="291"/>
      <c r="F888" s="291"/>
      <c r="G888" s="293"/>
      <c r="H888" s="291"/>
      <c r="I888" s="291"/>
      <c r="J888" s="291"/>
      <c r="K888" s="291"/>
      <c r="L888" s="291"/>
      <c r="M888" s="291"/>
      <c r="N888" s="291"/>
      <c r="O888" s="291"/>
      <c r="P888" s="291"/>
    </row>
    <row r="889" spans="1:16" ht="15">
      <c r="A889" s="291"/>
      <c r="B889" s="291"/>
      <c r="C889" s="291"/>
      <c r="D889" s="291"/>
      <c r="E889" s="291"/>
      <c r="F889" s="291"/>
      <c r="G889" s="293"/>
      <c r="H889" s="291"/>
      <c r="I889" s="291"/>
      <c r="J889" s="291"/>
      <c r="K889" s="291"/>
      <c r="L889" s="291"/>
      <c r="M889" s="291"/>
      <c r="N889" s="291"/>
      <c r="O889" s="291"/>
      <c r="P889" s="291"/>
    </row>
    <row r="890" spans="1:16" ht="15">
      <c r="A890" s="291"/>
      <c r="B890" s="291"/>
      <c r="C890" s="291"/>
      <c r="D890" s="291"/>
      <c r="E890" s="291"/>
      <c r="F890" s="291"/>
      <c r="G890" s="293"/>
      <c r="H890" s="291"/>
      <c r="I890" s="291"/>
      <c r="J890" s="291"/>
      <c r="K890" s="291"/>
      <c r="L890" s="291"/>
      <c r="M890" s="291"/>
      <c r="N890" s="291"/>
      <c r="O890" s="291"/>
      <c r="P890" s="291"/>
    </row>
    <row r="891" spans="1:16" ht="15">
      <c r="A891" s="291"/>
      <c r="B891" s="291"/>
      <c r="C891" s="291"/>
      <c r="D891" s="291"/>
      <c r="E891" s="291"/>
      <c r="F891" s="291"/>
      <c r="G891" s="293"/>
      <c r="H891" s="291"/>
      <c r="I891" s="291"/>
      <c r="J891" s="291"/>
      <c r="K891" s="291"/>
      <c r="L891" s="291"/>
      <c r="M891" s="291"/>
      <c r="N891" s="291"/>
      <c r="O891" s="291"/>
      <c r="P891" s="291"/>
    </row>
    <row r="892" spans="1:16" ht="15">
      <c r="A892" s="291"/>
      <c r="B892" s="291"/>
      <c r="C892" s="291"/>
      <c r="D892" s="291"/>
      <c r="E892" s="291"/>
      <c r="F892" s="291"/>
      <c r="G892" s="293"/>
      <c r="H892" s="291"/>
      <c r="I892" s="291"/>
      <c r="J892" s="291"/>
      <c r="K892" s="291"/>
      <c r="L892" s="291"/>
      <c r="M892" s="291"/>
      <c r="N892" s="291"/>
      <c r="O892" s="291"/>
      <c r="P892" s="291"/>
    </row>
    <row r="893" spans="1:16" ht="15">
      <c r="A893" s="291"/>
      <c r="B893" s="291"/>
      <c r="C893" s="291"/>
      <c r="D893" s="291"/>
      <c r="E893" s="291"/>
      <c r="F893" s="291"/>
      <c r="G893" s="293"/>
      <c r="H893" s="291"/>
      <c r="I893" s="291"/>
      <c r="J893" s="291"/>
      <c r="K893" s="291"/>
      <c r="L893" s="291"/>
      <c r="M893" s="291"/>
      <c r="N893" s="291"/>
      <c r="O893" s="291"/>
      <c r="P893" s="291"/>
    </row>
    <row r="894" spans="1:16" ht="15">
      <c r="A894" s="291"/>
      <c r="B894" s="291"/>
      <c r="C894" s="291"/>
      <c r="D894" s="291"/>
      <c r="E894" s="291"/>
      <c r="F894" s="291"/>
      <c r="G894" s="293"/>
      <c r="H894" s="291"/>
      <c r="I894" s="291"/>
      <c r="J894" s="291"/>
      <c r="K894" s="291"/>
      <c r="L894" s="291"/>
      <c r="M894" s="291"/>
      <c r="N894" s="291"/>
      <c r="O894" s="291"/>
      <c r="P894" s="291"/>
    </row>
    <row r="895" spans="1:16" ht="15">
      <c r="A895" s="291"/>
      <c r="B895" s="291"/>
      <c r="C895" s="291"/>
      <c r="D895" s="291"/>
      <c r="E895" s="291"/>
      <c r="F895" s="291"/>
      <c r="G895" s="293"/>
      <c r="H895" s="291"/>
      <c r="I895" s="291"/>
      <c r="J895" s="291"/>
      <c r="K895" s="291"/>
      <c r="L895" s="291"/>
      <c r="M895" s="291"/>
      <c r="N895" s="291"/>
      <c r="O895" s="291"/>
      <c r="P895" s="291"/>
    </row>
    <row r="896" spans="1:16" ht="15">
      <c r="A896" s="291"/>
      <c r="B896" s="291"/>
      <c r="C896" s="291"/>
      <c r="D896" s="291"/>
      <c r="E896" s="291"/>
      <c r="F896" s="291"/>
      <c r="G896" s="293"/>
      <c r="H896" s="291"/>
      <c r="I896" s="291"/>
      <c r="J896" s="291"/>
      <c r="K896" s="291"/>
      <c r="L896" s="291"/>
      <c r="M896" s="291"/>
      <c r="N896" s="291"/>
      <c r="O896" s="291"/>
      <c r="P896" s="291"/>
    </row>
    <row r="897" spans="1:16" ht="15">
      <c r="A897" s="291"/>
      <c r="B897" s="291"/>
      <c r="C897" s="291"/>
      <c r="D897" s="291"/>
      <c r="E897" s="291"/>
      <c r="F897" s="291"/>
      <c r="G897" s="293"/>
      <c r="H897" s="291"/>
      <c r="I897" s="291"/>
      <c r="J897" s="291"/>
      <c r="K897" s="291"/>
      <c r="L897" s="291"/>
      <c r="M897" s="291"/>
      <c r="N897" s="291"/>
      <c r="O897" s="291"/>
      <c r="P897" s="291"/>
    </row>
    <row r="898" spans="1:16" ht="15">
      <c r="A898" s="291"/>
      <c r="B898" s="291"/>
      <c r="C898" s="291"/>
      <c r="D898" s="291"/>
      <c r="E898" s="291"/>
      <c r="F898" s="291"/>
      <c r="G898" s="293"/>
      <c r="H898" s="291"/>
      <c r="I898" s="291"/>
      <c r="J898" s="291"/>
      <c r="K898" s="291"/>
      <c r="L898" s="291"/>
      <c r="M898" s="291"/>
      <c r="N898" s="291"/>
      <c r="O898" s="291"/>
      <c r="P898" s="291"/>
    </row>
    <row r="899" spans="1:16" ht="15">
      <c r="A899" s="291"/>
      <c r="B899" s="291"/>
      <c r="C899" s="291"/>
      <c r="D899" s="291"/>
      <c r="E899" s="291"/>
      <c r="F899" s="291"/>
      <c r="G899" s="293"/>
      <c r="H899" s="291"/>
      <c r="I899" s="291"/>
      <c r="J899" s="291"/>
      <c r="K899" s="291"/>
      <c r="L899" s="291"/>
      <c r="M899" s="291"/>
      <c r="N899" s="291"/>
      <c r="O899" s="291"/>
      <c r="P899" s="291"/>
    </row>
    <row r="900" spans="1:16" ht="15">
      <c r="A900" s="291"/>
      <c r="B900" s="291"/>
      <c r="C900" s="291"/>
      <c r="D900" s="291"/>
      <c r="E900" s="291"/>
      <c r="F900" s="291"/>
      <c r="G900" s="293"/>
      <c r="H900" s="291"/>
      <c r="I900" s="291"/>
      <c r="J900" s="291"/>
      <c r="K900" s="291"/>
      <c r="L900" s="291"/>
      <c r="M900" s="291"/>
      <c r="N900" s="291"/>
      <c r="O900" s="291"/>
      <c r="P900" s="291"/>
    </row>
    <row r="901" spans="1:16" ht="15">
      <c r="A901" s="291"/>
      <c r="B901" s="291"/>
      <c r="C901" s="291"/>
      <c r="D901" s="291"/>
      <c r="E901" s="291"/>
      <c r="F901" s="291"/>
      <c r="G901" s="293"/>
      <c r="H901" s="291"/>
      <c r="I901" s="291"/>
      <c r="J901" s="291"/>
      <c r="K901" s="291"/>
      <c r="L901" s="291"/>
      <c r="M901" s="291"/>
      <c r="N901" s="291"/>
      <c r="O901" s="291"/>
      <c r="P901" s="291"/>
    </row>
    <row r="902" spans="1:16" ht="15">
      <c r="A902" s="291"/>
      <c r="B902" s="291"/>
      <c r="C902" s="291"/>
      <c r="D902" s="291"/>
      <c r="E902" s="291"/>
      <c r="F902" s="291"/>
      <c r="G902" s="293"/>
      <c r="H902" s="291"/>
      <c r="I902" s="291"/>
      <c r="J902" s="291"/>
      <c r="K902" s="291"/>
      <c r="L902" s="291"/>
      <c r="M902" s="291"/>
      <c r="N902" s="291"/>
      <c r="O902" s="291"/>
      <c r="P902" s="291"/>
    </row>
    <row r="903" spans="1:16" ht="15">
      <c r="A903" s="291"/>
      <c r="B903" s="291"/>
      <c r="C903" s="291"/>
      <c r="D903" s="291"/>
      <c r="E903" s="291"/>
      <c r="F903" s="291"/>
      <c r="G903" s="293"/>
      <c r="H903" s="291"/>
      <c r="I903" s="291"/>
      <c r="J903" s="291"/>
      <c r="K903" s="291"/>
      <c r="L903" s="291"/>
      <c r="M903" s="291"/>
      <c r="N903" s="291"/>
      <c r="O903" s="291"/>
      <c r="P903" s="291"/>
    </row>
    <row r="904" spans="1:16" ht="15">
      <c r="A904" s="291"/>
      <c r="B904" s="291"/>
      <c r="C904" s="291"/>
      <c r="D904" s="291"/>
      <c r="E904" s="291"/>
      <c r="F904" s="291"/>
      <c r="G904" s="293"/>
      <c r="H904" s="291"/>
      <c r="I904" s="291"/>
      <c r="J904" s="291"/>
      <c r="K904" s="291"/>
      <c r="L904" s="291"/>
      <c r="M904" s="291"/>
      <c r="N904" s="291"/>
      <c r="O904" s="291"/>
      <c r="P904" s="291"/>
    </row>
    <row r="905" spans="1:16" ht="15">
      <c r="A905" s="291"/>
      <c r="B905" s="291"/>
      <c r="C905" s="291"/>
      <c r="D905" s="291"/>
      <c r="E905" s="291"/>
      <c r="F905" s="291"/>
      <c r="G905" s="293"/>
      <c r="H905" s="291"/>
      <c r="I905" s="291"/>
      <c r="J905" s="291"/>
      <c r="K905" s="291"/>
      <c r="L905" s="291"/>
      <c r="M905" s="291"/>
      <c r="N905" s="291"/>
      <c r="O905" s="291"/>
      <c r="P905" s="291"/>
    </row>
    <row r="906" spans="1:16" ht="15">
      <c r="A906" s="291"/>
      <c r="B906" s="291"/>
      <c r="C906" s="291"/>
      <c r="D906" s="291"/>
      <c r="E906" s="291"/>
      <c r="F906" s="291"/>
      <c r="G906" s="293"/>
      <c r="H906" s="291"/>
      <c r="I906" s="291"/>
      <c r="J906" s="291"/>
      <c r="K906" s="291"/>
      <c r="L906" s="291"/>
      <c r="M906" s="291"/>
      <c r="N906" s="291"/>
      <c r="O906" s="291"/>
      <c r="P906" s="291"/>
    </row>
    <row r="907" spans="1:16" ht="15">
      <c r="A907" s="291"/>
      <c r="B907" s="291"/>
      <c r="C907" s="291"/>
      <c r="D907" s="291"/>
      <c r="E907" s="291"/>
      <c r="F907" s="291"/>
      <c r="G907" s="293"/>
      <c r="H907" s="291"/>
      <c r="I907" s="291"/>
      <c r="J907" s="291"/>
      <c r="K907" s="291"/>
      <c r="L907" s="291"/>
      <c r="M907" s="291"/>
      <c r="N907" s="291"/>
      <c r="O907" s="291"/>
      <c r="P907" s="291"/>
    </row>
    <row r="908" spans="1:16" ht="15">
      <c r="A908" s="291"/>
      <c r="B908" s="291"/>
      <c r="C908" s="291"/>
      <c r="D908" s="291"/>
      <c r="E908" s="291"/>
      <c r="F908" s="291"/>
      <c r="G908" s="293"/>
      <c r="H908" s="291"/>
      <c r="I908" s="291"/>
      <c r="J908" s="291"/>
      <c r="K908" s="291"/>
      <c r="L908" s="291"/>
      <c r="M908" s="291"/>
      <c r="N908" s="291"/>
      <c r="O908" s="291"/>
      <c r="P908" s="291"/>
    </row>
    <row r="909" spans="1:16" ht="15">
      <c r="A909" s="291"/>
      <c r="B909" s="291"/>
      <c r="C909" s="291"/>
      <c r="D909" s="291"/>
      <c r="E909" s="291"/>
      <c r="F909" s="291"/>
      <c r="G909" s="293"/>
      <c r="H909" s="291"/>
      <c r="I909" s="291"/>
      <c r="J909" s="291"/>
      <c r="K909" s="291"/>
      <c r="L909" s="291"/>
      <c r="M909" s="291"/>
      <c r="N909" s="291"/>
      <c r="O909" s="291"/>
      <c r="P909" s="291"/>
    </row>
    <row r="910" spans="1:16" ht="15">
      <c r="A910" s="291"/>
      <c r="B910" s="291"/>
      <c r="C910" s="291"/>
      <c r="D910" s="291"/>
      <c r="E910" s="291"/>
      <c r="F910" s="291"/>
      <c r="G910" s="293"/>
      <c r="H910" s="291"/>
      <c r="I910" s="291"/>
      <c r="J910" s="291"/>
      <c r="K910" s="291"/>
      <c r="L910" s="291"/>
      <c r="M910" s="291"/>
      <c r="N910" s="291"/>
      <c r="O910" s="291"/>
      <c r="P910" s="291"/>
    </row>
    <row r="911" spans="1:16" ht="15">
      <c r="A911" s="291"/>
      <c r="B911" s="291"/>
      <c r="C911" s="291"/>
      <c r="D911" s="291"/>
      <c r="E911" s="291"/>
      <c r="F911" s="291"/>
      <c r="G911" s="293"/>
      <c r="H911" s="291"/>
      <c r="I911" s="291"/>
      <c r="J911" s="291"/>
      <c r="K911" s="291"/>
      <c r="L911" s="291"/>
      <c r="M911" s="291"/>
      <c r="N911" s="291"/>
      <c r="O911" s="291"/>
      <c r="P911" s="291"/>
    </row>
    <row r="912" spans="1:16" ht="15">
      <c r="A912" s="291"/>
      <c r="B912" s="291"/>
      <c r="C912" s="291"/>
      <c r="D912" s="291"/>
      <c r="E912" s="291"/>
      <c r="F912" s="291"/>
      <c r="G912" s="293"/>
      <c r="H912" s="291"/>
      <c r="I912" s="291"/>
      <c r="J912" s="291"/>
      <c r="K912" s="291"/>
      <c r="L912" s="291"/>
      <c r="M912" s="291"/>
      <c r="N912" s="291"/>
      <c r="O912" s="291"/>
      <c r="P912" s="291"/>
    </row>
    <row r="913" spans="1:16" ht="15">
      <c r="A913" s="291"/>
      <c r="B913" s="291"/>
      <c r="C913" s="291"/>
      <c r="D913" s="291"/>
      <c r="E913" s="291"/>
      <c r="F913" s="291"/>
      <c r="G913" s="293"/>
      <c r="H913" s="291"/>
      <c r="I913" s="291"/>
      <c r="J913" s="291"/>
      <c r="K913" s="291"/>
      <c r="L913" s="291"/>
      <c r="M913" s="291"/>
      <c r="N913" s="291"/>
      <c r="O913" s="291"/>
      <c r="P913" s="291"/>
    </row>
    <row r="914" spans="1:16" ht="15">
      <c r="A914" s="291"/>
      <c r="B914" s="291"/>
      <c r="C914" s="291"/>
      <c r="D914" s="291"/>
      <c r="E914" s="291"/>
      <c r="F914" s="291"/>
      <c r="G914" s="293"/>
      <c r="H914" s="291"/>
      <c r="I914" s="291"/>
      <c r="J914" s="291"/>
      <c r="K914" s="291"/>
      <c r="L914" s="291"/>
      <c r="M914" s="291"/>
      <c r="N914" s="291"/>
      <c r="O914" s="291"/>
      <c r="P914" s="291"/>
    </row>
    <row r="915" spans="1:16" ht="15">
      <c r="A915" s="291"/>
      <c r="B915" s="291"/>
      <c r="C915" s="291"/>
      <c r="D915" s="291"/>
      <c r="E915" s="291"/>
      <c r="F915" s="291"/>
      <c r="G915" s="293"/>
      <c r="H915" s="291"/>
      <c r="I915" s="291"/>
      <c r="J915" s="291"/>
      <c r="K915" s="291"/>
      <c r="L915" s="291"/>
      <c r="M915" s="291"/>
      <c r="N915" s="291"/>
      <c r="O915" s="291"/>
      <c r="P915" s="291"/>
    </row>
    <row r="916" spans="1:16" ht="15">
      <c r="A916" s="291"/>
      <c r="B916" s="291"/>
      <c r="C916" s="291"/>
      <c r="D916" s="291"/>
      <c r="E916" s="291"/>
      <c r="F916" s="291"/>
      <c r="G916" s="293"/>
      <c r="H916" s="291"/>
      <c r="I916" s="291"/>
      <c r="J916" s="291"/>
      <c r="K916" s="291"/>
      <c r="L916" s="291"/>
      <c r="M916" s="291"/>
      <c r="N916" s="291"/>
      <c r="O916" s="291"/>
      <c r="P916" s="291"/>
    </row>
    <row r="917" spans="1:16" ht="15">
      <c r="A917" s="291"/>
      <c r="B917" s="291"/>
      <c r="C917" s="291"/>
      <c r="D917" s="291"/>
      <c r="E917" s="291"/>
      <c r="F917" s="291"/>
      <c r="G917" s="293"/>
      <c r="H917" s="291"/>
      <c r="I917" s="291"/>
      <c r="J917" s="291"/>
      <c r="K917" s="291"/>
      <c r="L917" s="291"/>
      <c r="M917" s="291"/>
      <c r="N917" s="291"/>
      <c r="O917" s="291"/>
      <c r="P917" s="291"/>
    </row>
    <row r="918" spans="1:16" ht="15">
      <c r="A918" s="291"/>
      <c r="B918" s="291"/>
      <c r="C918" s="291"/>
      <c r="D918" s="291"/>
      <c r="E918" s="291"/>
      <c r="F918" s="291"/>
      <c r="G918" s="293"/>
      <c r="H918" s="291"/>
      <c r="I918" s="291"/>
      <c r="J918" s="291"/>
      <c r="K918" s="291"/>
      <c r="L918" s="291"/>
      <c r="M918" s="291"/>
      <c r="N918" s="291"/>
      <c r="O918" s="291"/>
      <c r="P918" s="291"/>
    </row>
    <row r="919" spans="1:16" ht="15">
      <c r="A919" s="291"/>
      <c r="B919" s="291"/>
      <c r="C919" s="291"/>
      <c r="D919" s="291"/>
      <c r="E919" s="291"/>
      <c r="F919" s="291"/>
      <c r="G919" s="293"/>
      <c r="H919" s="291"/>
      <c r="I919" s="291"/>
      <c r="J919" s="291"/>
      <c r="K919" s="291"/>
      <c r="L919" s="291"/>
      <c r="M919" s="291"/>
      <c r="N919" s="291"/>
      <c r="O919" s="291"/>
      <c r="P919" s="291"/>
    </row>
    <row r="920" spans="1:16" ht="15">
      <c r="A920" s="291"/>
      <c r="B920" s="291"/>
      <c r="C920" s="291"/>
      <c r="D920" s="291"/>
      <c r="E920" s="291"/>
      <c r="F920" s="291"/>
      <c r="G920" s="293"/>
      <c r="H920" s="291"/>
      <c r="I920" s="291"/>
      <c r="J920" s="291"/>
      <c r="K920" s="291"/>
      <c r="L920" s="291"/>
      <c r="M920" s="291"/>
      <c r="N920" s="291"/>
      <c r="O920" s="291"/>
      <c r="P920" s="291"/>
    </row>
    <row r="921" spans="1:16" ht="15">
      <c r="A921" s="291"/>
      <c r="B921" s="291"/>
      <c r="C921" s="291"/>
      <c r="D921" s="291"/>
      <c r="E921" s="291"/>
      <c r="F921" s="291"/>
      <c r="G921" s="293"/>
      <c r="H921" s="291"/>
      <c r="I921" s="291"/>
      <c r="J921" s="291"/>
      <c r="K921" s="291"/>
      <c r="L921" s="291"/>
      <c r="M921" s="291"/>
      <c r="N921" s="291"/>
      <c r="O921" s="291"/>
      <c r="P921" s="291"/>
    </row>
    <row r="922" spans="1:16" ht="15">
      <c r="A922" s="291"/>
      <c r="B922" s="291"/>
      <c r="C922" s="291"/>
      <c r="D922" s="291"/>
      <c r="E922" s="291"/>
      <c r="F922" s="291"/>
      <c r="G922" s="293"/>
      <c r="H922" s="291"/>
      <c r="I922" s="291"/>
      <c r="J922" s="291"/>
      <c r="K922" s="291"/>
      <c r="L922" s="291"/>
      <c r="M922" s="291"/>
      <c r="N922" s="291"/>
      <c r="O922" s="291"/>
      <c r="P922" s="291"/>
    </row>
    <row r="923" spans="1:16" ht="15">
      <c r="A923" s="291"/>
      <c r="B923" s="291"/>
      <c r="C923" s="291"/>
      <c r="D923" s="291"/>
      <c r="E923" s="291"/>
      <c r="F923" s="291"/>
      <c r="G923" s="293"/>
      <c r="H923" s="291"/>
      <c r="I923" s="291"/>
      <c r="J923" s="291"/>
      <c r="K923" s="291"/>
      <c r="L923" s="291"/>
      <c r="M923" s="291"/>
      <c r="N923" s="291"/>
      <c r="O923" s="291"/>
      <c r="P923" s="291"/>
    </row>
    <row r="924" spans="1:16" ht="15">
      <c r="A924" s="291"/>
      <c r="B924" s="291"/>
      <c r="C924" s="291"/>
      <c r="D924" s="291"/>
      <c r="E924" s="291"/>
      <c r="F924" s="291"/>
      <c r="G924" s="293"/>
      <c r="H924" s="291"/>
      <c r="I924" s="291"/>
      <c r="J924" s="291"/>
      <c r="K924" s="291"/>
      <c r="L924" s="291"/>
      <c r="M924" s="291"/>
      <c r="N924" s="291"/>
      <c r="O924" s="291"/>
      <c r="P924" s="291"/>
    </row>
    <row r="925" spans="1:16" ht="15">
      <c r="A925" s="291"/>
      <c r="B925" s="291"/>
      <c r="C925" s="291"/>
      <c r="D925" s="291"/>
      <c r="E925" s="291"/>
      <c r="F925" s="291"/>
      <c r="G925" s="293"/>
      <c r="H925" s="291"/>
      <c r="I925" s="291"/>
      <c r="J925" s="291"/>
      <c r="K925" s="291"/>
      <c r="L925" s="291"/>
      <c r="M925" s="291"/>
      <c r="N925" s="291"/>
      <c r="O925" s="291"/>
      <c r="P925" s="291"/>
    </row>
    <row r="926" spans="1:16" ht="15">
      <c r="A926" s="291"/>
      <c r="B926" s="291"/>
      <c r="C926" s="291"/>
      <c r="D926" s="291"/>
      <c r="E926" s="291"/>
      <c r="F926" s="291"/>
      <c r="G926" s="293"/>
      <c r="H926" s="291"/>
      <c r="I926" s="291"/>
      <c r="J926" s="291"/>
      <c r="K926" s="291"/>
      <c r="L926" s="291"/>
      <c r="M926" s="291"/>
      <c r="N926" s="291"/>
      <c r="O926" s="291"/>
      <c r="P926" s="291"/>
    </row>
    <row r="927" spans="1:16" ht="15">
      <c r="A927" s="291"/>
      <c r="B927" s="291"/>
      <c r="C927" s="291"/>
      <c r="D927" s="291"/>
      <c r="E927" s="291"/>
      <c r="F927" s="291"/>
      <c r="G927" s="293"/>
      <c r="H927" s="291"/>
      <c r="I927" s="291"/>
      <c r="J927" s="291"/>
      <c r="K927" s="291"/>
      <c r="L927" s="291"/>
      <c r="M927" s="291"/>
      <c r="N927" s="291"/>
      <c r="O927" s="291"/>
      <c r="P927" s="291"/>
    </row>
    <row r="928" spans="1:16" ht="15">
      <c r="A928" s="291"/>
      <c r="B928" s="291"/>
      <c r="C928" s="291"/>
      <c r="D928" s="291"/>
      <c r="E928" s="291"/>
      <c r="F928" s="291"/>
      <c r="G928" s="293"/>
      <c r="H928" s="291"/>
      <c r="I928" s="291"/>
      <c r="J928" s="291"/>
      <c r="K928" s="291"/>
      <c r="L928" s="291"/>
      <c r="M928" s="291"/>
      <c r="N928" s="291"/>
      <c r="O928" s="291"/>
      <c r="P928" s="291"/>
    </row>
    <row r="929" spans="1:16" ht="15">
      <c r="A929" s="291"/>
      <c r="B929" s="291"/>
      <c r="C929" s="291"/>
      <c r="D929" s="291"/>
      <c r="E929" s="291"/>
      <c r="F929" s="291"/>
      <c r="G929" s="293"/>
      <c r="H929" s="291"/>
      <c r="I929" s="291"/>
      <c r="J929" s="291"/>
      <c r="K929" s="291"/>
      <c r="L929" s="291"/>
      <c r="M929" s="291"/>
      <c r="N929" s="291"/>
      <c r="O929" s="291"/>
      <c r="P929" s="291"/>
    </row>
    <row r="930" spans="1:16" ht="15">
      <c r="A930" s="291"/>
      <c r="B930" s="291"/>
      <c r="C930" s="291"/>
      <c r="D930" s="291"/>
      <c r="E930" s="291"/>
      <c r="F930" s="291"/>
      <c r="G930" s="293"/>
      <c r="H930" s="291"/>
      <c r="I930" s="291"/>
      <c r="J930" s="291"/>
      <c r="K930" s="291"/>
      <c r="L930" s="291"/>
      <c r="M930" s="291"/>
      <c r="N930" s="291"/>
      <c r="O930" s="291"/>
      <c r="P930" s="291"/>
    </row>
    <row r="931" spans="1:16" ht="15">
      <c r="A931" s="291"/>
      <c r="B931" s="291"/>
      <c r="C931" s="291"/>
      <c r="D931" s="291"/>
      <c r="E931" s="291"/>
      <c r="F931" s="291"/>
      <c r="G931" s="293"/>
      <c r="H931" s="291"/>
      <c r="I931" s="291"/>
      <c r="J931" s="291"/>
      <c r="K931" s="291"/>
      <c r="L931" s="291"/>
      <c r="M931" s="291"/>
      <c r="N931" s="291"/>
      <c r="O931" s="291"/>
      <c r="P931" s="291"/>
    </row>
    <row r="932" spans="1:16" ht="15">
      <c r="A932" s="291"/>
      <c r="B932" s="291"/>
      <c r="C932" s="291"/>
      <c r="D932" s="291"/>
      <c r="E932" s="291"/>
      <c r="F932" s="291"/>
      <c r="G932" s="293"/>
      <c r="H932" s="291"/>
      <c r="I932" s="291"/>
      <c r="J932" s="291"/>
      <c r="K932" s="291"/>
      <c r="L932" s="291"/>
      <c r="M932" s="291"/>
      <c r="N932" s="291"/>
      <c r="O932" s="291"/>
      <c r="P932" s="291"/>
    </row>
    <row r="933" spans="1:16" ht="15">
      <c r="A933" s="291"/>
      <c r="B933" s="291"/>
      <c r="C933" s="291"/>
      <c r="D933" s="291"/>
      <c r="E933" s="291"/>
      <c r="F933" s="291"/>
      <c r="G933" s="293"/>
      <c r="H933" s="291"/>
      <c r="I933" s="291"/>
      <c r="J933" s="291"/>
      <c r="K933" s="291"/>
      <c r="L933" s="291"/>
      <c r="M933" s="291"/>
      <c r="N933" s="291"/>
      <c r="O933" s="291"/>
      <c r="P933" s="291"/>
    </row>
    <row r="934" spans="1:16" ht="15">
      <c r="A934" s="291"/>
      <c r="B934" s="291"/>
      <c r="C934" s="291"/>
      <c r="D934" s="291"/>
      <c r="E934" s="291"/>
      <c r="F934" s="291"/>
      <c r="G934" s="293"/>
      <c r="H934" s="291"/>
      <c r="I934" s="291"/>
      <c r="J934" s="291"/>
      <c r="K934" s="291"/>
      <c r="L934" s="291"/>
      <c r="M934" s="291"/>
      <c r="N934" s="291"/>
      <c r="O934" s="291"/>
      <c r="P934" s="291"/>
    </row>
    <row r="935" spans="1:16" ht="15">
      <c r="A935" s="291"/>
      <c r="B935" s="291"/>
      <c r="C935" s="291"/>
      <c r="D935" s="291"/>
      <c r="E935" s="291"/>
      <c r="F935" s="291"/>
      <c r="G935" s="293"/>
      <c r="H935" s="291"/>
      <c r="I935" s="291"/>
      <c r="J935" s="291"/>
      <c r="K935" s="291"/>
      <c r="L935" s="291"/>
      <c r="M935" s="291"/>
      <c r="N935" s="291"/>
      <c r="O935" s="291"/>
      <c r="P935" s="291"/>
    </row>
    <row r="936" spans="1:16" ht="15">
      <c r="A936" s="291"/>
      <c r="B936" s="291"/>
      <c r="C936" s="291"/>
      <c r="D936" s="291"/>
      <c r="E936" s="291"/>
      <c r="F936" s="291"/>
      <c r="G936" s="293"/>
      <c r="H936" s="291"/>
      <c r="I936" s="291"/>
      <c r="J936" s="291"/>
      <c r="K936" s="291"/>
      <c r="L936" s="291"/>
      <c r="M936" s="291"/>
      <c r="N936" s="291"/>
      <c r="O936" s="291"/>
      <c r="P936" s="291"/>
    </row>
    <row r="937" spans="1:16" ht="15">
      <c r="A937" s="291"/>
      <c r="B937" s="291"/>
      <c r="C937" s="291"/>
      <c r="D937" s="291"/>
      <c r="E937" s="291"/>
      <c r="F937" s="291"/>
      <c r="G937" s="293"/>
      <c r="H937" s="291"/>
      <c r="I937" s="291"/>
      <c r="J937" s="291"/>
      <c r="K937" s="291"/>
      <c r="L937" s="291"/>
      <c r="M937" s="291"/>
      <c r="N937" s="291"/>
      <c r="O937" s="291"/>
      <c r="P937" s="291"/>
    </row>
    <row r="938" spans="1:16" ht="15">
      <c r="A938" s="291"/>
      <c r="B938" s="291"/>
      <c r="C938" s="291"/>
      <c r="D938" s="291"/>
      <c r="E938" s="291"/>
      <c r="F938" s="291"/>
      <c r="G938" s="293"/>
      <c r="H938" s="291"/>
      <c r="I938" s="291"/>
      <c r="J938" s="291"/>
      <c r="K938" s="291"/>
      <c r="L938" s="291"/>
      <c r="M938" s="291"/>
      <c r="N938" s="291"/>
      <c r="O938" s="291"/>
      <c r="P938" s="291"/>
    </row>
    <row r="939" spans="1:16" ht="15">
      <c r="A939" s="291"/>
      <c r="B939" s="291"/>
      <c r="C939" s="291"/>
      <c r="D939" s="291"/>
      <c r="E939" s="291"/>
      <c r="F939" s="291"/>
      <c r="G939" s="293"/>
      <c r="H939" s="291"/>
      <c r="I939" s="291"/>
      <c r="J939" s="291"/>
      <c r="K939" s="291"/>
      <c r="L939" s="291"/>
      <c r="M939" s="291"/>
      <c r="N939" s="291"/>
      <c r="O939" s="291"/>
      <c r="P939" s="291"/>
    </row>
    <row r="940" spans="1:16" ht="15">
      <c r="A940" s="291"/>
      <c r="B940" s="291"/>
      <c r="C940" s="291"/>
      <c r="D940" s="291"/>
      <c r="E940" s="291"/>
      <c r="F940" s="291"/>
      <c r="G940" s="293"/>
      <c r="H940" s="291"/>
      <c r="I940" s="291"/>
      <c r="J940" s="291"/>
      <c r="K940" s="291"/>
      <c r="L940" s="291"/>
      <c r="M940" s="291"/>
      <c r="N940" s="291"/>
      <c r="O940" s="291"/>
      <c r="P940" s="291"/>
    </row>
    <row r="941" spans="1:16" ht="15">
      <c r="A941" s="291"/>
      <c r="B941" s="291"/>
      <c r="C941" s="291"/>
      <c r="D941" s="291"/>
      <c r="E941" s="291"/>
      <c r="F941" s="291"/>
      <c r="G941" s="293"/>
      <c r="H941" s="291"/>
      <c r="I941" s="291"/>
      <c r="J941" s="291"/>
      <c r="K941" s="291"/>
      <c r="L941" s="291"/>
      <c r="M941" s="291"/>
      <c r="N941" s="291"/>
      <c r="O941" s="291"/>
      <c r="P941" s="291"/>
    </row>
    <row r="942" spans="1:16" ht="15">
      <c r="A942" s="291"/>
      <c r="B942" s="291"/>
      <c r="C942" s="291"/>
      <c r="D942" s="291"/>
      <c r="E942" s="291"/>
      <c r="F942" s="291"/>
      <c r="G942" s="293"/>
      <c r="H942" s="291"/>
      <c r="I942" s="291"/>
      <c r="J942" s="291"/>
      <c r="K942" s="291"/>
      <c r="L942" s="291"/>
      <c r="M942" s="291"/>
      <c r="N942" s="291"/>
      <c r="O942" s="291"/>
      <c r="P942" s="291"/>
    </row>
    <row r="943" spans="1:16" ht="15">
      <c r="A943" s="291"/>
      <c r="B943" s="291"/>
      <c r="C943" s="291"/>
      <c r="D943" s="291"/>
      <c r="E943" s="291"/>
      <c r="F943" s="291"/>
      <c r="G943" s="293"/>
      <c r="H943" s="291"/>
      <c r="I943" s="291"/>
      <c r="J943" s="291"/>
      <c r="K943" s="291"/>
      <c r="L943" s="291"/>
      <c r="M943" s="291"/>
      <c r="N943" s="291"/>
      <c r="O943" s="291"/>
      <c r="P943" s="291"/>
    </row>
    <row r="944" spans="1:16" ht="15">
      <c r="A944" s="291"/>
      <c r="B944" s="291"/>
      <c r="C944" s="291"/>
      <c r="D944" s="291"/>
      <c r="E944" s="291"/>
      <c r="F944" s="291"/>
      <c r="G944" s="293"/>
      <c r="H944" s="291"/>
      <c r="I944" s="291"/>
      <c r="J944" s="291"/>
      <c r="K944" s="291"/>
      <c r="L944" s="291"/>
      <c r="M944" s="291"/>
      <c r="N944" s="291"/>
      <c r="O944" s="291"/>
      <c r="P944" s="291"/>
    </row>
    <row r="945" spans="1:16" ht="15">
      <c r="A945" s="291"/>
      <c r="B945" s="291"/>
      <c r="C945" s="291"/>
      <c r="D945" s="291"/>
      <c r="E945" s="291"/>
      <c r="F945" s="291"/>
      <c r="G945" s="293"/>
      <c r="H945" s="291"/>
      <c r="I945" s="291"/>
      <c r="J945" s="291"/>
      <c r="K945" s="291"/>
      <c r="L945" s="291"/>
      <c r="M945" s="291"/>
      <c r="N945" s="291"/>
      <c r="O945" s="291"/>
      <c r="P945" s="291"/>
    </row>
    <row r="946" spans="1:16" ht="15">
      <c r="A946" s="291"/>
      <c r="B946" s="291"/>
      <c r="C946" s="291"/>
      <c r="D946" s="291"/>
      <c r="E946" s="291"/>
      <c r="F946" s="291"/>
      <c r="G946" s="293"/>
      <c r="H946" s="291"/>
      <c r="I946" s="291"/>
      <c r="J946" s="291"/>
      <c r="K946" s="291"/>
      <c r="L946" s="291"/>
      <c r="M946" s="291"/>
      <c r="N946" s="291"/>
      <c r="O946" s="291"/>
      <c r="P946" s="291"/>
    </row>
    <row r="947" spans="1:16" ht="15">
      <c r="A947" s="291"/>
      <c r="B947" s="291"/>
      <c r="C947" s="291"/>
      <c r="D947" s="291"/>
      <c r="E947" s="291"/>
      <c r="F947" s="291"/>
      <c r="G947" s="293"/>
      <c r="H947" s="291"/>
      <c r="I947" s="291"/>
      <c r="J947" s="291"/>
      <c r="K947" s="291"/>
      <c r="L947" s="291"/>
      <c r="M947" s="291"/>
      <c r="N947" s="291"/>
      <c r="O947" s="291"/>
      <c r="P947" s="291"/>
    </row>
    <row r="948" spans="1:16" ht="15">
      <c r="A948" s="291"/>
      <c r="B948" s="291"/>
      <c r="C948" s="291"/>
      <c r="D948" s="291"/>
      <c r="E948" s="291"/>
      <c r="F948" s="291"/>
      <c r="G948" s="293"/>
      <c r="H948" s="291"/>
      <c r="I948" s="291"/>
      <c r="J948" s="291"/>
      <c r="K948" s="291"/>
      <c r="L948" s="291"/>
      <c r="M948" s="291"/>
      <c r="N948" s="291"/>
      <c r="O948" s="291"/>
      <c r="P948" s="291"/>
    </row>
    <row r="949" spans="1:16" ht="15">
      <c r="A949" s="291"/>
      <c r="B949" s="291"/>
      <c r="C949" s="291"/>
      <c r="D949" s="291"/>
      <c r="E949" s="291"/>
      <c r="F949" s="291"/>
      <c r="G949" s="293"/>
      <c r="H949" s="291"/>
      <c r="I949" s="291"/>
      <c r="J949" s="291"/>
      <c r="K949" s="291"/>
      <c r="L949" s="291"/>
      <c r="M949" s="291"/>
      <c r="N949" s="291"/>
      <c r="O949" s="291"/>
      <c r="P949" s="291"/>
    </row>
    <row r="950" spans="1:16" ht="15">
      <c r="A950" s="291"/>
      <c r="B950" s="291"/>
      <c r="C950" s="291"/>
      <c r="D950" s="291"/>
      <c r="E950" s="291"/>
      <c r="F950" s="291"/>
      <c r="G950" s="293"/>
      <c r="H950" s="291"/>
      <c r="I950" s="291"/>
      <c r="J950" s="291"/>
      <c r="K950" s="291"/>
      <c r="L950" s="291"/>
      <c r="M950" s="291"/>
      <c r="N950" s="291"/>
      <c r="O950" s="291"/>
      <c r="P950" s="291"/>
    </row>
    <row r="951" spans="1:16" ht="15">
      <c r="A951" s="291"/>
      <c r="B951" s="291"/>
      <c r="C951" s="291"/>
      <c r="D951" s="291"/>
      <c r="E951" s="291"/>
      <c r="F951" s="291"/>
      <c r="G951" s="293"/>
      <c r="H951" s="291"/>
      <c r="I951" s="291"/>
      <c r="J951" s="291"/>
      <c r="K951" s="291"/>
      <c r="L951" s="291"/>
      <c r="M951" s="291"/>
      <c r="N951" s="291"/>
      <c r="O951" s="291"/>
      <c r="P951" s="291"/>
    </row>
    <row r="952" spans="1:16" ht="15">
      <c r="A952" s="291"/>
      <c r="B952" s="291"/>
      <c r="C952" s="291"/>
      <c r="D952" s="291"/>
      <c r="E952" s="291"/>
      <c r="F952" s="291"/>
      <c r="G952" s="293"/>
      <c r="H952" s="291"/>
      <c r="I952" s="291"/>
      <c r="J952" s="291"/>
      <c r="K952" s="291"/>
      <c r="L952" s="291"/>
      <c r="M952" s="291"/>
      <c r="N952" s="291"/>
      <c r="O952" s="291"/>
      <c r="P952" s="291"/>
    </row>
    <row r="953" spans="1:16" ht="15">
      <c r="A953" s="291"/>
      <c r="B953" s="291"/>
      <c r="C953" s="291"/>
      <c r="D953" s="291"/>
      <c r="E953" s="291"/>
      <c r="F953" s="291"/>
      <c r="G953" s="293"/>
      <c r="H953" s="291"/>
      <c r="I953" s="291"/>
      <c r="J953" s="291"/>
      <c r="K953" s="291"/>
      <c r="L953" s="291"/>
      <c r="M953" s="291"/>
      <c r="N953" s="291"/>
      <c r="O953" s="291"/>
      <c r="P953" s="291"/>
    </row>
    <row r="954" spans="1:16" ht="15">
      <c r="A954" s="291"/>
      <c r="B954" s="291"/>
      <c r="C954" s="291"/>
      <c r="D954" s="291"/>
      <c r="E954" s="291"/>
      <c r="F954" s="291"/>
      <c r="G954" s="293"/>
      <c r="H954" s="291"/>
      <c r="I954" s="291"/>
      <c r="J954" s="291"/>
      <c r="K954" s="291"/>
      <c r="L954" s="291"/>
      <c r="M954" s="291"/>
      <c r="N954" s="291"/>
      <c r="O954" s="291"/>
      <c r="P954" s="291"/>
    </row>
    <row r="955" spans="1:16" ht="15">
      <c r="A955" s="291"/>
      <c r="B955" s="291"/>
      <c r="C955" s="291"/>
      <c r="D955" s="291"/>
      <c r="E955" s="291"/>
      <c r="F955" s="291"/>
      <c r="G955" s="293"/>
      <c r="H955" s="291"/>
      <c r="I955" s="291"/>
      <c r="J955" s="291"/>
      <c r="K955" s="291"/>
      <c r="L955" s="291"/>
      <c r="M955" s="291"/>
      <c r="N955" s="291"/>
      <c r="O955" s="291"/>
      <c r="P955" s="291"/>
    </row>
    <row r="956" spans="1:16" ht="15">
      <c r="A956" s="291"/>
      <c r="B956" s="291"/>
      <c r="C956" s="291"/>
      <c r="D956" s="291"/>
      <c r="E956" s="291"/>
      <c r="F956" s="291"/>
      <c r="G956" s="293"/>
      <c r="H956" s="291"/>
      <c r="I956" s="291"/>
      <c r="J956" s="291"/>
      <c r="K956" s="291"/>
      <c r="L956" s="291"/>
      <c r="M956" s="291"/>
      <c r="N956" s="291"/>
      <c r="O956" s="291"/>
      <c r="P956" s="291"/>
    </row>
    <row r="957" spans="1:16" ht="15">
      <c r="A957" s="291"/>
      <c r="B957" s="291"/>
      <c r="C957" s="291"/>
      <c r="D957" s="291"/>
      <c r="E957" s="291"/>
      <c r="F957" s="291"/>
      <c r="G957" s="293"/>
      <c r="H957" s="291"/>
      <c r="I957" s="291"/>
      <c r="J957" s="291"/>
      <c r="K957" s="291"/>
      <c r="L957" s="291"/>
      <c r="M957" s="291"/>
      <c r="N957" s="291"/>
      <c r="O957" s="291"/>
      <c r="P957" s="291"/>
    </row>
    <row r="958" spans="1:16" ht="15">
      <c r="A958" s="291"/>
      <c r="B958" s="291"/>
      <c r="C958" s="291"/>
      <c r="D958" s="291"/>
      <c r="E958" s="291"/>
      <c r="F958" s="291"/>
      <c r="G958" s="293"/>
      <c r="H958" s="291"/>
      <c r="I958" s="291"/>
      <c r="J958" s="291"/>
      <c r="K958" s="291"/>
      <c r="L958" s="291"/>
      <c r="M958" s="291"/>
      <c r="N958" s="291"/>
      <c r="O958" s="291"/>
      <c r="P958" s="291"/>
    </row>
    <row r="959" spans="1:16" ht="15">
      <c r="A959" s="291"/>
      <c r="B959" s="291"/>
      <c r="C959" s="291"/>
      <c r="D959" s="291"/>
      <c r="E959" s="291"/>
      <c r="F959" s="291"/>
      <c r="G959" s="293"/>
      <c r="H959" s="291"/>
      <c r="I959" s="291"/>
      <c r="J959" s="291"/>
      <c r="K959" s="291"/>
      <c r="L959" s="291"/>
      <c r="M959" s="291"/>
      <c r="N959" s="291"/>
      <c r="O959" s="291"/>
      <c r="P959" s="291"/>
    </row>
    <row r="960" spans="1:16" ht="15">
      <c r="A960" s="291"/>
      <c r="B960" s="291"/>
      <c r="C960" s="291"/>
      <c r="D960" s="291"/>
      <c r="E960" s="291"/>
      <c r="F960" s="291"/>
      <c r="G960" s="293"/>
      <c r="H960" s="291"/>
      <c r="I960" s="291"/>
      <c r="J960" s="291"/>
      <c r="K960" s="291"/>
      <c r="L960" s="291"/>
      <c r="M960" s="291"/>
      <c r="N960" s="291"/>
      <c r="O960" s="291"/>
      <c r="P960" s="291"/>
    </row>
    <row r="961" spans="1:16" ht="15">
      <c r="A961" s="291"/>
      <c r="B961" s="291"/>
      <c r="C961" s="291"/>
      <c r="D961" s="291"/>
      <c r="E961" s="291"/>
      <c r="F961" s="291"/>
      <c r="G961" s="293"/>
      <c r="H961" s="291"/>
      <c r="I961" s="291"/>
      <c r="J961" s="291"/>
      <c r="K961" s="291"/>
      <c r="L961" s="291"/>
      <c r="M961" s="291"/>
      <c r="N961" s="291"/>
      <c r="O961" s="291"/>
      <c r="P961" s="291"/>
    </row>
    <row r="962" spans="1:16" ht="15">
      <c r="A962" s="291"/>
      <c r="B962" s="291"/>
      <c r="C962" s="291"/>
      <c r="D962" s="291"/>
      <c r="E962" s="291"/>
      <c r="F962" s="291"/>
      <c r="G962" s="293"/>
      <c r="H962" s="291"/>
      <c r="I962" s="291"/>
      <c r="J962" s="291"/>
      <c r="K962" s="291"/>
      <c r="L962" s="291"/>
      <c r="M962" s="291"/>
      <c r="N962" s="291"/>
      <c r="O962" s="291"/>
      <c r="P962" s="291"/>
    </row>
    <row r="963" spans="1:16" ht="15">
      <c r="A963" s="291"/>
      <c r="B963" s="291"/>
      <c r="C963" s="291"/>
      <c r="D963" s="291"/>
      <c r="E963" s="291"/>
      <c r="F963" s="291"/>
      <c r="G963" s="293"/>
      <c r="H963" s="291"/>
      <c r="I963" s="291"/>
      <c r="J963" s="291"/>
      <c r="K963" s="291"/>
      <c r="L963" s="291"/>
      <c r="M963" s="291"/>
      <c r="N963" s="291"/>
      <c r="O963" s="291"/>
      <c r="P963" s="291"/>
    </row>
    <row r="964" spans="1:16" ht="15">
      <c r="A964" s="291"/>
      <c r="B964" s="291"/>
      <c r="C964" s="291"/>
      <c r="D964" s="291"/>
      <c r="E964" s="291"/>
      <c r="F964" s="291"/>
      <c r="G964" s="293"/>
      <c r="H964" s="291"/>
      <c r="I964" s="291"/>
      <c r="J964" s="291"/>
      <c r="K964" s="291"/>
      <c r="L964" s="291"/>
      <c r="M964" s="291"/>
      <c r="N964" s="291"/>
      <c r="O964" s="291"/>
      <c r="P964" s="291"/>
    </row>
    <row r="965" spans="1:16" ht="15">
      <c r="A965" s="291"/>
      <c r="B965" s="291"/>
      <c r="C965" s="291"/>
      <c r="D965" s="291"/>
      <c r="E965" s="291"/>
      <c r="F965" s="291"/>
      <c r="G965" s="293"/>
      <c r="H965" s="291"/>
      <c r="I965" s="291"/>
      <c r="J965" s="291"/>
      <c r="K965" s="291"/>
      <c r="L965" s="291"/>
      <c r="M965" s="291"/>
      <c r="N965" s="291"/>
      <c r="O965" s="291"/>
      <c r="P965" s="291"/>
    </row>
    <row r="966" spans="1:16" ht="15">
      <c r="A966" s="291"/>
      <c r="B966" s="291"/>
      <c r="C966" s="291"/>
      <c r="D966" s="291"/>
      <c r="E966" s="291"/>
      <c r="F966" s="291"/>
      <c r="G966" s="293"/>
      <c r="H966" s="291"/>
      <c r="I966" s="291"/>
      <c r="J966" s="291"/>
      <c r="K966" s="291"/>
      <c r="L966" s="291"/>
      <c r="M966" s="291"/>
      <c r="N966" s="291"/>
      <c r="O966" s="291"/>
      <c r="P966" s="291"/>
    </row>
    <row r="967" spans="1:16" ht="15">
      <c r="A967" s="291"/>
      <c r="B967" s="291"/>
      <c r="C967" s="291"/>
      <c r="D967" s="291"/>
      <c r="E967" s="291"/>
      <c r="F967" s="291"/>
      <c r="G967" s="293"/>
      <c r="H967" s="291"/>
      <c r="I967" s="291"/>
      <c r="J967" s="291"/>
      <c r="K967" s="291"/>
      <c r="L967" s="291"/>
      <c r="M967" s="291"/>
      <c r="N967" s="291"/>
      <c r="O967" s="291"/>
      <c r="P967" s="291"/>
    </row>
    <row r="968" spans="1:16" ht="15">
      <c r="A968" s="291"/>
      <c r="B968" s="291"/>
      <c r="C968" s="291"/>
      <c r="D968" s="291"/>
      <c r="E968" s="291"/>
      <c r="F968" s="291"/>
      <c r="G968" s="293"/>
      <c r="H968" s="291"/>
      <c r="I968" s="291"/>
      <c r="J968" s="291"/>
      <c r="K968" s="291"/>
      <c r="L968" s="291"/>
      <c r="M968" s="291"/>
      <c r="N968" s="291"/>
      <c r="O968" s="291"/>
      <c r="P968" s="291"/>
    </row>
    <row r="969" spans="1:16" ht="15">
      <c r="A969" s="291"/>
      <c r="B969" s="291"/>
      <c r="C969" s="291"/>
      <c r="D969" s="291"/>
      <c r="E969" s="291"/>
      <c r="F969" s="291"/>
      <c r="G969" s="293"/>
      <c r="H969" s="291"/>
      <c r="I969" s="291"/>
      <c r="J969" s="291"/>
      <c r="K969" s="291"/>
      <c r="L969" s="291"/>
      <c r="M969" s="291"/>
      <c r="N969" s="291"/>
      <c r="O969" s="291"/>
      <c r="P969" s="291"/>
    </row>
    <row r="970" spans="1:16" ht="15">
      <c r="A970" s="291"/>
      <c r="B970" s="291"/>
      <c r="C970" s="291"/>
      <c r="D970" s="291"/>
      <c r="E970" s="291"/>
      <c r="F970" s="291"/>
      <c r="G970" s="293"/>
      <c r="H970" s="291"/>
      <c r="I970" s="291"/>
      <c r="J970" s="291"/>
      <c r="K970" s="291"/>
      <c r="L970" s="291"/>
      <c r="M970" s="291"/>
      <c r="N970" s="291"/>
      <c r="O970" s="291"/>
      <c r="P970" s="291"/>
    </row>
    <row r="971" spans="1:16" ht="15">
      <c r="A971" s="291"/>
      <c r="B971" s="291"/>
      <c r="C971" s="291"/>
      <c r="D971" s="291"/>
      <c r="E971" s="291"/>
      <c r="F971" s="291"/>
      <c r="G971" s="293"/>
      <c r="H971" s="291"/>
      <c r="I971" s="291"/>
      <c r="J971" s="291"/>
      <c r="K971" s="291"/>
      <c r="L971" s="291"/>
      <c r="M971" s="291"/>
      <c r="N971" s="291"/>
      <c r="O971" s="291"/>
      <c r="P971" s="291"/>
    </row>
    <row r="972" spans="1:16" ht="15">
      <c r="A972" s="291"/>
      <c r="B972" s="291"/>
      <c r="C972" s="291"/>
      <c r="D972" s="291"/>
      <c r="E972" s="291"/>
      <c r="F972" s="291"/>
      <c r="G972" s="293"/>
      <c r="H972" s="291"/>
      <c r="I972" s="291"/>
      <c r="J972" s="291"/>
      <c r="K972" s="291"/>
      <c r="L972" s="291"/>
      <c r="M972" s="291"/>
      <c r="N972" s="291"/>
      <c r="O972" s="291"/>
      <c r="P972" s="291"/>
    </row>
    <row r="973" spans="1:16" ht="15">
      <c r="A973" s="291"/>
      <c r="B973" s="291"/>
      <c r="C973" s="291"/>
      <c r="D973" s="291"/>
      <c r="E973" s="291"/>
      <c r="F973" s="291"/>
      <c r="G973" s="293"/>
      <c r="H973" s="291"/>
      <c r="I973" s="291"/>
      <c r="J973" s="291"/>
      <c r="K973" s="291"/>
      <c r="L973" s="291"/>
      <c r="M973" s="291"/>
      <c r="N973" s="291"/>
      <c r="O973" s="291"/>
      <c r="P973" s="291"/>
    </row>
    <row r="974" spans="1:16" ht="15">
      <c r="A974" s="291"/>
      <c r="B974" s="291"/>
      <c r="C974" s="291"/>
      <c r="D974" s="291"/>
      <c r="E974" s="291"/>
      <c r="F974" s="291"/>
      <c r="G974" s="293"/>
      <c r="H974" s="291"/>
      <c r="I974" s="291"/>
      <c r="J974" s="291"/>
      <c r="K974" s="291"/>
      <c r="L974" s="291"/>
      <c r="M974" s="291"/>
      <c r="N974" s="291"/>
      <c r="O974" s="291"/>
      <c r="P974" s="291"/>
    </row>
    <row r="975" spans="1:16" ht="15">
      <c r="A975" s="291"/>
      <c r="B975" s="291"/>
      <c r="C975" s="291"/>
      <c r="D975" s="291"/>
      <c r="E975" s="291"/>
      <c r="F975" s="291"/>
      <c r="G975" s="293"/>
      <c r="H975" s="291"/>
      <c r="I975" s="291"/>
      <c r="J975" s="291"/>
      <c r="K975" s="291"/>
      <c r="L975" s="291"/>
      <c r="M975" s="291"/>
      <c r="N975" s="291"/>
      <c r="O975" s="291"/>
      <c r="P975" s="291"/>
    </row>
    <row r="976" spans="1:16" ht="15">
      <c r="A976" s="291"/>
      <c r="B976" s="291"/>
      <c r="C976" s="291"/>
      <c r="D976" s="291"/>
      <c r="E976" s="291"/>
      <c r="F976" s="291"/>
      <c r="G976" s="293"/>
      <c r="H976" s="291"/>
      <c r="I976" s="291"/>
      <c r="J976" s="291"/>
      <c r="K976" s="291"/>
      <c r="L976" s="291"/>
      <c r="M976" s="291"/>
      <c r="N976" s="291"/>
      <c r="O976" s="291"/>
      <c r="P976" s="291"/>
    </row>
    <row r="977" spans="1:16" ht="15">
      <c r="A977" s="291"/>
      <c r="B977" s="291"/>
      <c r="C977" s="291"/>
      <c r="D977" s="291"/>
      <c r="E977" s="291"/>
      <c r="F977" s="291"/>
      <c r="G977" s="293"/>
      <c r="H977" s="291"/>
      <c r="I977" s="291"/>
      <c r="J977" s="291"/>
      <c r="K977" s="291"/>
      <c r="L977" s="291"/>
      <c r="M977" s="291"/>
      <c r="N977" s="291"/>
      <c r="O977" s="291"/>
      <c r="P977" s="291"/>
    </row>
    <row r="978" spans="1:16" ht="15">
      <c r="A978" s="291"/>
      <c r="B978" s="291"/>
      <c r="C978" s="291"/>
      <c r="D978" s="291"/>
      <c r="E978" s="291"/>
      <c r="F978" s="291"/>
      <c r="G978" s="293"/>
      <c r="H978" s="291"/>
      <c r="I978" s="291"/>
      <c r="J978" s="291"/>
      <c r="K978" s="291"/>
      <c r="L978" s="291"/>
      <c r="M978" s="291"/>
      <c r="N978" s="291"/>
      <c r="O978" s="291"/>
      <c r="P978" s="291"/>
    </row>
    <row r="979" spans="1:16" ht="15">
      <c r="A979" s="291"/>
      <c r="B979" s="291"/>
      <c r="C979" s="291"/>
      <c r="D979" s="291"/>
      <c r="E979" s="291"/>
      <c r="F979" s="291"/>
      <c r="G979" s="293"/>
      <c r="H979" s="291"/>
      <c r="I979" s="291"/>
      <c r="J979" s="291"/>
      <c r="K979" s="291"/>
      <c r="L979" s="291"/>
      <c r="M979" s="291"/>
      <c r="N979" s="291"/>
      <c r="O979" s="291"/>
      <c r="P979" s="291"/>
    </row>
    <row r="980" spans="1:16" ht="15">
      <c r="A980" s="291"/>
      <c r="B980" s="291"/>
      <c r="C980" s="291"/>
      <c r="D980" s="291"/>
      <c r="E980" s="291"/>
      <c r="F980" s="291"/>
      <c r="G980" s="293"/>
      <c r="H980" s="291"/>
      <c r="I980" s="291"/>
      <c r="J980" s="291"/>
      <c r="K980" s="291"/>
      <c r="L980" s="291"/>
      <c r="M980" s="291"/>
      <c r="N980" s="291"/>
      <c r="O980" s="291"/>
      <c r="P980" s="291"/>
    </row>
    <row r="981" spans="1:16" ht="15">
      <c r="A981" s="291"/>
      <c r="B981" s="291"/>
      <c r="C981" s="291"/>
      <c r="D981" s="291"/>
      <c r="E981" s="291"/>
      <c r="F981" s="291"/>
      <c r="G981" s="293"/>
      <c r="H981" s="291"/>
      <c r="I981" s="291"/>
      <c r="J981" s="291"/>
      <c r="K981" s="291"/>
      <c r="L981" s="291"/>
      <c r="M981" s="291"/>
      <c r="N981" s="291"/>
      <c r="O981" s="291"/>
      <c r="P981" s="291"/>
    </row>
    <row r="982" spans="1:16" ht="15">
      <c r="A982" s="291"/>
      <c r="B982" s="291"/>
      <c r="C982" s="291"/>
      <c r="D982" s="291"/>
      <c r="E982" s="291"/>
      <c r="F982" s="291"/>
      <c r="G982" s="293"/>
      <c r="H982" s="291"/>
      <c r="I982" s="291"/>
      <c r="J982" s="291"/>
      <c r="K982" s="291"/>
      <c r="L982" s="291"/>
      <c r="M982" s="291"/>
      <c r="N982" s="291"/>
      <c r="O982" s="291"/>
      <c r="P982" s="291"/>
    </row>
    <row r="983" spans="1:16" ht="15">
      <c r="A983" s="291"/>
      <c r="B983" s="291"/>
      <c r="C983" s="291"/>
      <c r="D983" s="291"/>
      <c r="E983" s="291"/>
      <c r="F983" s="291"/>
      <c r="G983" s="293"/>
      <c r="H983" s="291"/>
      <c r="I983" s="291"/>
      <c r="J983" s="291"/>
      <c r="K983" s="291"/>
      <c r="L983" s="291"/>
      <c r="M983" s="291"/>
      <c r="N983" s="291"/>
      <c r="O983" s="291"/>
      <c r="P983" s="291"/>
    </row>
    <row r="984" spans="1:16" ht="15">
      <c r="A984" s="291"/>
      <c r="B984" s="291"/>
      <c r="C984" s="291"/>
      <c r="D984" s="291"/>
      <c r="E984" s="291"/>
      <c r="F984" s="291"/>
      <c r="G984" s="293"/>
      <c r="H984" s="291"/>
      <c r="I984" s="291"/>
      <c r="J984" s="291"/>
      <c r="K984" s="291"/>
      <c r="L984" s="291"/>
      <c r="M984" s="291"/>
      <c r="N984" s="291"/>
      <c r="O984" s="291"/>
      <c r="P984" s="291"/>
    </row>
    <row r="985" spans="1:16" ht="15">
      <c r="A985" s="291"/>
      <c r="B985" s="291"/>
      <c r="C985" s="291"/>
      <c r="D985" s="291"/>
      <c r="E985" s="291"/>
      <c r="F985" s="291"/>
      <c r="G985" s="293"/>
      <c r="H985" s="291"/>
      <c r="I985" s="291"/>
      <c r="J985" s="291"/>
      <c r="K985" s="291"/>
      <c r="L985" s="291"/>
      <c r="M985" s="291"/>
      <c r="N985" s="291"/>
      <c r="O985" s="291"/>
      <c r="P985" s="291"/>
    </row>
    <row r="986" spans="1:16" ht="15">
      <c r="A986" s="291"/>
      <c r="B986" s="291"/>
      <c r="C986" s="291"/>
      <c r="D986" s="291"/>
      <c r="E986" s="291"/>
      <c r="F986" s="291"/>
      <c r="G986" s="293"/>
      <c r="H986" s="291"/>
      <c r="I986" s="291"/>
      <c r="J986" s="291"/>
      <c r="K986" s="291"/>
      <c r="L986" s="291"/>
      <c r="M986" s="291"/>
      <c r="N986" s="291"/>
      <c r="O986" s="291"/>
      <c r="P986" s="291"/>
    </row>
    <row r="987" spans="1:16" ht="15">
      <c r="A987" s="291"/>
      <c r="B987" s="291"/>
      <c r="C987" s="291"/>
      <c r="D987" s="291"/>
      <c r="E987" s="291"/>
      <c r="F987" s="291"/>
      <c r="G987" s="293"/>
      <c r="H987" s="291"/>
      <c r="I987" s="291"/>
      <c r="J987" s="291"/>
      <c r="K987" s="291"/>
      <c r="L987" s="291"/>
      <c r="M987" s="291"/>
      <c r="N987" s="291"/>
      <c r="O987" s="291"/>
      <c r="P987" s="291"/>
    </row>
    <row r="988" spans="1:16" ht="15">
      <c r="A988" s="291"/>
      <c r="B988" s="291"/>
      <c r="C988" s="291"/>
      <c r="D988" s="291"/>
      <c r="E988" s="291"/>
      <c r="F988" s="291"/>
      <c r="G988" s="293"/>
      <c r="H988" s="291"/>
      <c r="I988" s="291"/>
      <c r="J988" s="291"/>
      <c r="K988" s="291"/>
      <c r="L988" s="291"/>
      <c r="M988" s="291"/>
      <c r="N988" s="291"/>
      <c r="O988" s="291"/>
      <c r="P988" s="291"/>
    </row>
    <row r="989" spans="1:16" ht="15">
      <c r="A989" s="291"/>
      <c r="B989" s="291"/>
      <c r="C989" s="291"/>
      <c r="D989" s="291"/>
      <c r="E989" s="291"/>
      <c r="F989" s="291"/>
      <c r="G989" s="293"/>
      <c r="H989" s="291"/>
      <c r="I989" s="291"/>
      <c r="J989" s="291"/>
      <c r="K989" s="291"/>
      <c r="L989" s="291"/>
      <c r="M989" s="291"/>
      <c r="N989" s="291"/>
      <c r="O989" s="291"/>
      <c r="P989" s="291"/>
    </row>
    <row r="990" spans="1:16" ht="15">
      <c r="A990" s="291"/>
      <c r="B990" s="291"/>
      <c r="C990" s="291"/>
      <c r="D990" s="291"/>
      <c r="E990" s="291"/>
      <c r="F990" s="291"/>
      <c r="G990" s="293"/>
      <c r="H990" s="291"/>
      <c r="I990" s="291"/>
      <c r="J990" s="291"/>
      <c r="K990" s="291"/>
      <c r="L990" s="291"/>
      <c r="M990" s="291"/>
      <c r="N990" s="291"/>
      <c r="O990" s="291"/>
      <c r="P990" s="291"/>
    </row>
    <row r="991" spans="1:16" ht="15">
      <c r="A991" s="291"/>
      <c r="B991" s="291"/>
      <c r="C991" s="291"/>
      <c r="D991" s="291"/>
      <c r="E991" s="291"/>
      <c r="F991" s="291"/>
      <c r="G991" s="293"/>
      <c r="H991" s="291"/>
      <c r="I991" s="291"/>
      <c r="J991" s="291"/>
      <c r="K991" s="291"/>
      <c r="L991" s="291"/>
      <c r="M991" s="291"/>
      <c r="N991" s="291"/>
      <c r="O991" s="291"/>
      <c r="P991" s="291"/>
    </row>
    <row r="992" spans="1:16" ht="15">
      <c r="A992" s="291"/>
      <c r="B992" s="291"/>
      <c r="C992" s="291"/>
      <c r="D992" s="291"/>
      <c r="E992" s="291"/>
      <c r="F992" s="291"/>
      <c r="G992" s="293"/>
      <c r="H992" s="291"/>
      <c r="I992" s="291"/>
      <c r="J992" s="291"/>
      <c r="K992" s="291"/>
      <c r="L992" s="291"/>
      <c r="M992" s="291"/>
      <c r="N992" s="291"/>
      <c r="O992" s="291"/>
      <c r="P992" s="291"/>
    </row>
    <row r="993" spans="1:16" ht="15">
      <c r="A993" s="291"/>
      <c r="B993" s="291"/>
      <c r="C993" s="291"/>
      <c r="D993" s="291"/>
      <c r="E993" s="291"/>
      <c r="F993" s="291"/>
      <c r="G993" s="293"/>
      <c r="H993" s="291"/>
      <c r="I993" s="291"/>
      <c r="J993" s="291"/>
      <c r="K993" s="291"/>
      <c r="L993" s="291"/>
      <c r="M993" s="291"/>
      <c r="N993" s="291"/>
      <c r="O993" s="291"/>
      <c r="P993" s="291"/>
    </row>
    <row r="994" spans="1:16" ht="15">
      <c r="A994" s="291"/>
      <c r="B994" s="291"/>
      <c r="C994" s="291"/>
      <c r="D994" s="291"/>
      <c r="E994" s="291"/>
      <c r="F994" s="291"/>
      <c r="G994" s="293"/>
      <c r="H994" s="291"/>
      <c r="I994" s="291"/>
      <c r="J994" s="291"/>
      <c r="K994" s="291"/>
      <c r="L994" s="291"/>
      <c r="M994" s="291"/>
      <c r="N994" s="291"/>
      <c r="O994" s="291"/>
      <c r="P994" s="291"/>
    </row>
    <row r="995" spans="1:16" ht="15">
      <c r="A995" s="291"/>
      <c r="B995" s="291"/>
      <c r="C995" s="291"/>
      <c r="D995" s="291"/>
      <c r="E995" s="291"/>
      <c r="F995" s="291"/>
      <c r="G995" s="293"/>
      <c r="H995" s="291"/>
      <c r="I995" s="291"/>
      <c r="J995" s="291"/>
      <c r="K995" s="291"/>
      <c r="L995" s="291"/>
      <c r="M995" s="291"/>
      <c r="N995" s="291"/>
      <c r="O995" s="291"/>
      <c r="P995" s="291"/>
    </row>
    <row r="996" spans="1:16" ht="15">
      <c r="A996" s="291"/>
      <c r="B996" s="291"/>
      <c r="C996" s="291"/>
      <c r="D996" s="291"/>
      <c r="E996" s="291"/>
      <c r="F996" s="291"/>
      <c r="G996" s="293"/>
      <c r="H996" s="291"/>
      <c r="I996" s="291"/>
      <c r="J996" s="291"/>
      <c r="K996" s="291"/>
      <c r="L996" s="291"/>
      <c r="M996" s="291"/>
      <c r="N996" s="291"/>
      <c r="O996" s="291"/>
      <c r="P996" s="291"/>
    </row>
    <row r="997" spans="1:16" ht="15">
      <c r="A997" s="291"/>
      <c r="B997" s="291"/>
      <c r="C997" s="291"/>
      <c r="D997" s="291"/>
      <c r="E997" s="291"/>
      <c r="F997" s="291"/>
      <c r="G997" s="293"/>
      <c r="H997" s="291"/>
      <c r="I997" s="291"/>
      <c r="J997" s="291"/>
      <c r="K997" s="291"/>
      <c r="L997" s="291"/>
      <c r="M997" s="291"/>
      <c r="N997" s="291"/>
      <c r="O997" s="291"/>
      <c r="P997" s="291"/>
    </row>
    <row r="998" spans="1:16" ht="15">
      <c r="A998" s="291"/>
      <c r="B998" s="291"/>
      <c r="C998" s="291"/>
      <c r="D998" s="291"/>
      <c r="E998" s="291"/>
      <c r="F998" s="291"/>
      <c r="G998" s="293"/>
      <c r="H998" s="291"/>
      <c r="I998" s="291"/>
      <c r="J998" s="291"/>
      <c r="K998" s="291"/>
      <c r="L998" s="291"/>
      <c r="M998" s="291"/>
      <c r="N998" s="291"/>
      <c r="O998" s="291"/>
      <c r="P998" s="291"/>
    </row>
    <row r="999" spans="1:16" ht="15">
      <c r="A999" s="291"/>
      <c r="B999" s="291"/>
      <c r="C999" s="291"/>
      <c r="D999" s="291"/>
      <c r="E999" s="291"/>
      <c r="F999" s="291"/>
      <c r="G999" s="293"/>
      <c r="H999" s="291"/>
      <c r="I999" s="291"/>
      <c r="J999" s="291"/>
      <c r="K999" s="291"/>
      <c r="L999" s="291"/>
      <c r="M999" s="291"/>
      <c r="N999" s="291"/>
      <c r="O999" s="291"/>
      <c r="P999" s="291"/>
    </row>
    <row r="1000" spans="1:16" ht="15">
      <c r="A1000" s="291"/>
      <c r="B1000" s="291"/>
      <c r="C1000" s="291"/>
      <c r="D1000" s="291"/>
      <c r="E1000" s="291"/>
      <c r="F1000" s="291"/>
      <c r="G1000" s="293"/>
      <c r="H1000" s="291"/>
      <c r="I1000" s="291"/>
      <c r="J1000" s="291"/>
      <c r="K1000" s="291"/>
      <c r="L1000" s="291"/>
      <c r="M1000" s="291"/>
      <c r="N1000" s="291"/>
      <c r="O1000" s="291"/>
      <c r="P1000" s="291"/>
    </row>
    <row r="1001" spans="1:16" ht="15">
      <c r="A1001" s="291"/>
      <c r="B1001" s="291"/>
      <c r="C1001" s="291"/>
      <c r="D1001" s="291"/>
      <c r="E1001" s="291"/>
      <c r="F1001" s="291"/>
      <c r="G1001" s="293"/>
      <c r="H1001" s="291"/>
      <c r="I1001" s="291"/>
      <c r="J1001" s="291"/>
      <c r="K1001" s="291"/>
      <c r="L1001" s="291"/>
      <c r="M1001" s="291"/>
      <c r="N1001" s="291"/>
      <c r="O1001" s="291"/>
      <c r="P1001" s="291"/>
    </row>
    <row r="1002" spans="1:16" ht="15">
      <c r="A1002" s="291"/>
      <c r="B1002" s="291"/>
      <c r="C1002" s="291"/>
      <c r="D1002" s="291"/>
      <c r="E1002" s="291"/>
      <c r="F1002" s="291"/>
      <c r="G1002" s="293"/>
      <c r="H1002" s="291"/>
      <c r="I1002" s="291"/>
      <c r="J1002" s="291"/>
      <c r="K1002" s="291"/>
      <c r="L1002" s="291"/>
      <c r="M1002" s="291"/>
      <c r="N1002" s="291"/>
      <c r="O1002" s="291"/>
      <c r="P1002" s="291"/>
    </row>
    <row r="1003" spans="1:16" ht="15">
      <c r="A1003" s="291"/>
      <c r="B1003" s="291"/>
      <c r="C1003" s="291"/>
      <c r="D1003" s="291"/>
      <c r="E1003" s="291"/>
      <c r="F1003" s="291"/>
      <c r="G1003" s="293"/>
      <c r="H1003" s="291"/>
      <c r="I1003" s="291"/>
      <c r="J1003" s="291"/>
      <c r="K1003" s="291"/>
      <c r="L1003" s="291"/>
      <c r="M1003" s="291"/>
      <c r="N1003" s="291"/>
      <c r="O1003" s="291"/>
      <c r="P1003" s="291"/>
    </row>
    <row r="1004" spans="1:16" ht="15">
      <c r="A1004" s="291"/>
      <c r="B1004" s="291"/>
      <c r="C1004" s="291"/>
      <c r="D1004" s="291"/>
      <c r="E1004" s="291"/>
      <c r="F1004" s="291"/>
      <c r="G1004" s="293"/>
      <c r="H1004" s="291"/>
      <c r="I1004" s="291"/>
      <c r="J1004" s="291"/>
      <c r="K1004" s="291"/>
      <c r="L1004" s="291"/>
      <c r="M1004" s="291"/>
      <c r="N1004" s="291"/>
      <c r="O1004" s="291"/>
      <c r="P1004" s="291"/>
    </row>
    <row r="1005" spans="1:16" ht="15">
      <c r="A1005" s="291"/>
      <c r="B1005" s="291"/>
      <c r="C1005" s="291"/>
      <c r="D1005" s="291"/>
      <c r="E1005" s="291"/>
      <c r="F1005" s="291"/>
      <c r="G1005" s="293"/>
      <c r="H1005" s="291"/>
      <c r="I1005" s="291"/>
      <c r="J1005" s="291"/>
      <c r="K1005" s="291"/>
      <c r="L1005" s="291"/>
      <c r="M1005" s="291"/>
      <c r="N1005" s="291"/>
      <c r="O1005" s="291"/>
      <c r="P1005" s="291"/>
    </row>
    <row r="1006" spans="1:16" ht="15">
      <c r="A1006" s="291"/>
      <c r="B1006" s="291"/>
      <c r="C1006" s="291"/>
      <c r="D1006" s="291"/>
      <c r="E1006" s="291"/>
      <c r="F1006" s="291"/>
      <c r="G1006" s="293"/>
      <c r="H1006" s="291"/>
      <c r="I1006" s="291"/>
      <c r="J1006" s="291"/>
      <c r="K1006" s="291"/>
      <c r="L1006" s="291"/>
      <c r="M1006" s="291"/>
      <c r="N1006" s="291"/>
      <c r="O1006" s="291"/>
      <c r="P1006" s="291"/>
    </row>
    <row r="1007" spans="1:16" ht="15">
      <c r="B1007" s="291"/>
      <c r="C1007" s="291"/>
      <c r="D1007" s="291"/>
      <c r="E1007" s="291"/>
      <c r="F1007" s="291"/>
      <c r="G1007" s="293"/>
      <c r="H1007" s="291"/>
      <c r="I1007" s="291"/>
      <c r="J1007" s="291"/>
      <c r="K1007" s="291"/>
      <c r="L1007" s="291"/>
      <c r="M1007" s="291"/>
      <c r="N1007" s="291"/>
      <c r="O1007" s="291"/>
      <c r="P1007" s="291"/>
    </row>
    <row r="1008" spans="1:16" ht="15.75" customHeight="1">
      <c r="F1008" s="291"/>
      <c r="G1008" s="293"/>
      <c r="H1008" s="291"/>
      <c r="I1008" s="291"/>
      <c r="J1008" s="291"/>
      <c r="K1008" s="291"/>
      <c r="L1008" s="291"/>
    </row>
    <row r="1009" spans="6:12" ht="15.75" customHeight="1">
      <c r="F1009" s="291"/>
      <c r="G1009" s="293"/>
      <c r="L1009" s="291"/>
    </row>
    <row r="1010" spans="6:12" ht="15.75" customHeight="1">
      <c r="F1010" s="291"/>
      <c r="G1010" s="293"/>
      <c r="L1010" s="291"/>
    </row>
    <row r="1011" spans="6:12" ht="15.75" customHeight="1">
      <c r="F1011" s="291"/>
      <c r="G1011" s="293"/>
      <c r="L1011" s="291"/>
    </row>
    <row r="1012" spans="6:12" ht="15.75" customHeight="1">
      <c r="F1012" s="291"/>
      <c r="G1012" s="293"/>
      <c r="L1012" s="291"/>
    </row>
    <row r="1013" spans="6:12" ht="15.75" customHeight="1">
      <c r="F1013" s="291"/>
      <c r="G1013" s="293"/>
      <c r="L1013" s="291"/>
    </row>
    <row r="1014" spans="6:12" ht="15.75" customHeight="1">
      <c r="F1014" s="291"/>
      <c r="L1014" s="291"/>
    </row>
  </sheetData>
  <mergeCells count="9">
    <mergeCell ref="J12:J13"/>
    <mergeCell ref="K12:K13"/>
    <mergeCell ref="L12:L13"/>
    <mergeCell ref="I12:I13"/>
    <mergeCell ref="B12:B13"/>
    <mergeCell ref="C12:C13"/>
    <mergeCell ref="D12:D13"/>
    <mergeCell ref="E12:E13"/>
    <mergeCell ref="H12:H1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C67FA-EE7D-428D-A7FE-1F4C42B8525C}">
  <dimension ref="B2:H71"/>
  <sheetViews>
    <sheetView workbookViewId="0">
      <selection activeCell="G39" sqref="G39"/>
    </sheetView>
  </sheetViews>
  <sheetFormatPr defaultColWidth="9" defaultRowHeight="15"/>
  <cols>
    <col min="1" max="1" width="4" style="390" customWidth="1"/>
    <col min="2" max="2" width="13.375" style="390" customWidth="1"/>
    <col min="3" max="3" width="18.875" style="390" bestFit="1" customWidth="1"/>
    <col min="4" max="4" width="17.875" style="390" customWidth="1"/>
    <col min="5" max="5" width="13.75" style="390" bestFit="1" customWidth="1"/>
    <col min="6" max="6" width="14.625" style="390" bestFit="1" customWidth="1"/>
    <col min="7" max="7" width="11" style="390" bestFit="1" customWidth="1"/>
    <col min="8" max="16384" width="9" style="390"/>
  </cols>
  <sheetData>
    <row r="2" spans="2:7">
      <c r="D2" s="390" t="str">
        <f>'Cash Flows &amp; Summary'!T27</f>
        <v>Land Purchase</v>
      </c>
      <c r="E2" s="1201">
        <f>'Cash Flows &amp; Summary'!U27</f>
        <v>44340000</v>
      </c>
    </row>
    <row r="3" spans="2:7">
      <c r="D3" s="390" t="str">
        <f>'Cash Flows &amp; Summary'!T28</f>
        <v>Closing Costs</v>
      </c>
      <c r="E3" s="1201">
        <f>'Cash Flows &amp; Summary'!U28</f>
        <v>665100</v>
      </c>
    </row>
    <row r="4" spans="2:7">
      <c r="D4" s="390" t="str">
        <f>'Cash Flows &amp; Summary'!T29</f>
        <v>Capex</v>
      </c>
      <c r="E4" s="1201">
        <f>'Cash Flows &amp; Summary'!U29</f>
        <v>2814471</v>
      </c>
    </row>
    <row r="5" spans="2:7">
      <c r="D5" s="390" t="str">
        <f>'Cash Flows &amp; Summary'!T30</f>
        <v>CM Fee</v>
      </c>
      <c r="E5" s="1201">
        <f>'Cash Flows &amp; Summary'!U30</f>
        <v>281447.10000000003</v>
      </c>
    </row>
    <row r="6" spans="2:7">
      <c r="D6" s="390" t="str">
        <f>'Cash Flows &amp; Summary'!T31</f>
        <v>Working Capital</v>
      </c>
      <c r="E6" s="1201">
        <f>'Cash Flows &amp; Summary'!U31</f>
        <v>200000</v>
      </c>
    </row>
    <row r="7" spans="2:7">
      <c r="D7" s="390" t="str">
        <f>'Cash Flows &amp; Summary'!T32</f>
        <v>Interest Reserves</v>
      </c>
      <c r="E7" s="1201">
        <f>'Cash Flows &amp; Summary'!U32</f>
        <v>1000000</v>
      </c>
    </row>
    <row r="8" spans="2:7">
      <c r="D8" s="390" t="str">
        <f>'Cash Flows &amp; Summary'!T33</f>
        <v xml:space="preserve">Financing costs </v>
      </c>
      <c r="E8" s="1202">
        <f>'Cash Flows &amp; Summary'!U33</f>
        <v>232400.00000000003</v>
      </c>
    </row>
    <row r="9" spans="2:7">
      <c r="D9" s="390" t="str">
        <f>'Cash Flows &amp; Summary'!T34</f>
        <v>Acquisition Fee</v>
      </c>
      <c r="E9" s="1203">
        <f>'Cash Flows &amp; Summary'!U34</f>
        <v>886800</v>
      </c>
    </row>
    <row r="10" spans="2:7">
      <c r="E10" s="1202">
        <f>SUM(E2:E9)</f>
        <v>50420218.100000001</v>
      </c>
    </row>
    <row r="11" spans="2:7">
      <c r="D11" s="1204"/>
      <c r="E11" s="1202"/>
      <c r="F11" s="1201"/>
    </row>
    <row r="14" spans="2:7" ht="15.75" thickBot="1"/>
    <row r="15" spans="2:7" ht="15.75" thickBot="1">
      <c r="B15" s="391" t="s">
        <v>526</v>
      </c>
    </row>
    <row r="16" spans="2:7">
      <c r="B16" s="392" t="s">
        <v>299</v>
      </c>
      <c r="C16" s="392" t="s">
        <v>527</v>
      </c>
      <c r="D16" s="392" t="s">
        <v>236</v>
      </c>
      <c r="E16" s="392" t="s">
        <v>528</v>
      </c>
      <c r="F16" s="392" t="s">
        <v>529</v>
      </c>
      <c r="G16" s="392" t="s">
        <v>310</v>
      </c>
    </row>
    <row r="17" spans="2:7">
      <c r="C17" s="393">
        <f>E10-E7-E6</f>
        <v>49220218.100000001</v>
      </c>
      <c r="D17" s="393">
        <f>'Cash Flows &amp; Summary'!Q29-E7-E6</f>
        <v>14620218.099999998</v>
      </c>
      <c r="E17" s="394"/>
      <c r="F17" s="394"/>
    </row>
    <row r="18" spans="2:7" ht="15.75">
      <c r="C18" s="395"/>
      <c r="D18" s="395"/>
    </row>
    <row r="19" spans="2:7" ht="15.75">
      <c r="B19" s="1201">
        <v>1</v>
      </c>
      <c r="C19" s="395">
        <f>$C$17/'Inputs &amp; Assumptions'!$V$37</f>
        <v>2734456.5611111112</v>
      </c>
      <c r="D19" s="396">
        <f>+MIN(D17,C19)</f>
        <v>2734456.5611111112</v>
      </c>
      <c r="E19" s="396">
        <f>+C19-D19</f>
        <v>0</v>
      </c>
      <c r="F19" s="396">
        <f>+E19</f>
        <v>0</v>
      </c>
      <c r="G19" s="395">
        <f>F19*'Inputs &amp; Assumptions'!$V$12/12</f>
        <v>0</v>
      </c>
    </row>
    <row r="20" spans="2:7" ht="15.75">
      <c r="B20" s="1201">
        <v>2</v>
      </c>
      <c r="C20" s="395">
        <f>$C$17/'Inputs &amp; Assumptions'!$V$37</f>
        <v>2734456.5611111112</v>
      </c>
      <c r="D20" s="396">
        <f>+MIN(($D$17-D19),C20)</f>
        <v>2734456.5611111112</v>
      </c>
      <c r="E20" s="396">
        <f>+C20-D20</f>
        <v>0</v>
      </c>
      <c r="F20" s="396">
        <f>+F19+E20</f>
        <v>0</v>
      </c>
      <c r="G20" s="395">
        <f>F20*'Inputs &amp; Assumptions'!$V$12/12</f>
        <v>0</v>
      </c>
    </row>
    <row r="21" spans="2:7" ht="15.75">
      <c r="B21" s="1201">
        <v>3</v>
      </c>
      <c r="C21" s="395">
        <f>$C$17/'Inputs &amp; Assumptions'!$V$37</f>
        <v>2734456.5611111112</v>
      </c>
      <c r="D21" s="396">
        <f>+MIN(($D$17-SUM($D$19:D20)),C21)</f>
        <v>2734456.5611111112</v>
      </c>
      <c r="E21" s="396">
        <f>+C21-D21</f>
        <v>0</v>
      </c>
      <c r="F21" s="396">
        <f>+F20+E21</f>
        <v>0</v>
      </c>
      <c r="G21" s="395">
        <f>F21*'Inputs &amp; Assumptions'!$V$12/12</f>
        <v>0</v>
      </c>
    </row>
    <row r="22" spans="2:7" ht="15.75">
      <c r="B22" s="1201">
        <v>4</v>
      </c>
      <c r="C22" s="395">
        <f>$C$17/'Inputs &amp; Assumptions'!$V$37</f>
        <v>2734456.5611111112</v>
      </c>
      <c r="D22" s="396">
        <f>+MIN(($D$17-SUM($D$19:D21)),C22)</f>
        <v>2734456.5611111112</v>
      </c>
      <c r="E22" s="396">
        <f>+C22-D22</f>
        <v>0</v>
      </c>
      <c r="F22" s="396">
        <f>+F21+E22</f>
        <v>0</v>
      </c>
      <c r="G22" s="395">
        <f>F22*'Inputs &amp; Assumptions'!$V$12/12</f>
        <v>0</v>
      </c>
    </row>
    <row r="23" spans="2:7" ht="15.75">
      <c r="B23" s="1201">
        <v>5</v>
      </c>
      <c r="C23" s="395">
        <f>$C$17/'Inputs &amp; Assumptions'!$V$37</f>
        <v>2734456.5611111112</v>
      </c>
      <c r="D23" s="396">
        <f>+MIN(($D$17-SUM($D$19:D22)),C23)</f>
        <v>2734456.5611111112</v>
      </c>
      <c r="E23" s="396">
        <f>+C23-D23</f>
        <v>0</v>
      </c>
      <c r="F23" s="396">
        <f>+F22+E23</f>
        <v>0</v>
      </c>
      <c r="G23" s="395">
        <f>F23*'Inputs &amp; Assumptions'!$V$12/12</f>
        <v>0</v>
      </c>
    </row>
    <row r="24" spans="2:7" ht="15.75">
      <c r="B24" s="1201">
        <v>6</v>
      </c>
      <c r="C24" s="395">
        <f>$C$17/'Inputs &amp; Assumptions'!$V$37</f>
        <v>2734456.5611111112</v>
      </c>
      <c r="D24" s="396">
        <f>+MIN(($D$17-SUM($D$19:D23)),C24)</f>
        <v>947935.2944444418</v>
      </c>
      <c r="E24" s="396">
        <f t="shared" ref="E24:E28" si="0">+C24-D24</f>
        <v>1786521.2666666694</v>
      </c>
      <c r="F24" s="396">
        <f t="shared" ref="F24:F26" si="1">+F23+E24</f>
        <v>1786521.2666666694</v>
      </c>
      <c r="G24" s="395">
        <f>F24*'Inputs &amp; Assumptions'!$V$12/12</f>
        <v>5806.1941166666757</v>
      </c>
    </row>
    <row r="25" spans="2:7" ht="15.75">
      <c r="B25" s="1201">
        <v>7</v>
      </c>
      <c r="C25" s="395">
        <f>$C$17/'Inputs &amp; Assumptions'!$V$37</f>
        <v>2734456.5611111112</v>
      </c>
      <c r="D25" s="396">
        <f>+MIN(($D$17-SUM($D$19:D24)),C25)</f>
        <v>0</v>
      </c>
      <c r="E25" s="396">
        <f t="shared" si="0"/>
        <v>2734456.5611111112</v>
      </c>
      <c r="F25" s="396">
        <f t="shared" si="1"/>
        <v>4520977.8277777806</v>
      </c>
      <c r="G25" s="395">
        <f>F25*'Inputs &amp; Assumptions'!$V$12/12</f>
        <v>14693.177940277788</v>
      </c>
    </row>
    <row r="26" spans="2:7" ht="15.75">
      <c r="B26" s="1201">
        <v>8</v>
      </c>
      <c r="C26" s="395">
        <f>$C$17/'Inputs &amp; Assumptions'!$V$37</f>
        <v>2734456.5611111112</v>
      </c>
      <c r="D26" s="396">
        <f>+MIN(($D$17-SUM($D$19:D25)),C26)</f>
        <v>0</v>
      </c>
      <c r="E26" s="396">
        <f>+C26-D26</f>
        <v>2734456.5611111112</v>
      </c>
      <c r="F26" s="396">
        <f t="shared" si="1"/>
        <v>7255434.3888888918</v>
      </c>
      <c r="G26" s="395">
        <f>F26*'Inputs &amp; Assumptions'!$V$12/12</f>
        <v>23580.1617638889</v>
      </c>
    </row>
    <row r="27" spans="2:7" ht="15.75">
      <c r="B27" s="1201">
        <v>9</v>
      </c>
      <c r="C27" s="395">
        <f>$C$17/'Inputs &amp; Assumptions'!$V$37</f>
        <v>2734456.5611111112</v>
      </c>
      <c r="D27" s="396">
        <f>+MIN(($D$17-SUM($D$19:D26)),C27)</f>
        <v>0</v>
      </c>
      <c r="E27" s="396">
        <f t="shared" si="0"/>
        <v>2734456.5611111112</v>
      </c>
      <c r="F27" s="396">
        <f>+F26+E27</f>
        <v>9989890.950000003</v>
      </c>
      <c r="G27" s="395">
        <f>F27*'Inputs &amp; Assumptions'!$V$12/12</f>
        <v>32467.14558750001</v>
      </c>
    </row>
    <row r="28" spans="2:7" ht="15.75">
      <c r="B28" s="1201">
        <v>10</v>
      </c>
      <c r="C28" s="395">
        <f>$C$17/'Inputs &amp; Assumptions'!$V$37</f>
        <v>2734456.5611111112</v>
      </c>
      <c r="D28" s="396">
        <f>+MIN(($D$17-SUM($D$19:D27)),C28)</f>
        <v>0</v>
      </c>
      <c r="E28" s="396">
        <f t="shared" si="0"/>
        <v>2734456.5611111112</v>
      </c>
      <c r="F28" s="396">
        <f t="shared" ref="F28:F29" si="2">+F27+E28</f>
        <v>12724347.511111114</v>
      </c>
      <c r="G28" s="395">
        <f>F28*'Inputs &amp; Assumptions'!$V$12/12</f>
        <v>41354.12941111112</v>
      </c>
    </row>
    <row r="29" spans="2:7" ht="15.75">
      <c r="B29" s="1201">
        <v>11</v>
      </c>
      <c r="C29" s="395">
        <f>$C$17/'Inputs &amp; Assumptions'!$V$37</f>
        <v>2734456.5611111112</v>
      </c>
      <c r="D29" s="396">
        <f>+MIN(($D$17-SUM($D$19:D28)),C29)</f>
        <v>0</v>
      </c>
      <c r="E29" s="396">
        <f t="shared" ref="E29:E36" si="3">+C29-D29</f>
        <v>2734456.5611111112</v>
      </c>
      <c r="F29" s="396">
        <f t="shared" si="2"/>
        <v>15458804.072222225</v>
      </c>
      <c r="G29" s="395">
        <f>F29*'Inputs &amp; Assumptions'!$V$12/12</f>
        <v>50241.11323472223</v>
      </c>
    </row>
    <row r="30" spans="2:7" ht="15.75">
      <c r="B30" s="1201">
        <v>12</v>
      </c>
      <c r="C30" s="395">
        <f>$C$17/'Inputs &amp; Assumptions'!$V$37</f>
        <v>2734456.5611111112</v>
      </c>
      <c r="D30" s="396">
        <f>+MIN(($D$17-SUM($D$19:D29)),C30)</f>
        <v>0</v>
      </c>
      <c r="E30" s="396">
        <f t="shared" si="3"/>
        <v>2734456.5611111112</v>
      </c>
      <c r="F30" s="396">
        <f t="shared" ref="F30:F36" si="4">+F29+E30</f>
        <v>18193260.633333337</v>
      </c>
      <c r="G30" s="395">
        <f>F30*'Inputs &amp; Assumptions'!$V$12/12</f>
        <v>59128.09705833334</v>
      </c>
    </row>
    <row r="31" spans="2:7" ht="15.75">
      <c r="B31" s="1201">
        <v>13</v>
      </c>
      <c r="C31" s="395">
        <f>$C$17/'Inputs &amp; Assumptions'!$V$37</f>
        <v>2734456.5611111112</v>
      </c>
      <c r="D31" s="396">
        <f>+MIN(($D$17-SUM($D$19:D30)),C31)</f>
        <v>0</v>
      </c>
      <c r="E31" s="396">
        <f t="shared" si="3"/>
        <v>2734456.5611111112</v>
      </c>
      <c r="F31" s="396">
        <f t="shared" si="4"/>
        <v>20927717.194444448</v>
      </c>
      <c r="G31" s="395">
        <f>F31*'Inputs &amp; Assumptions'!$V$12/12</f>
        <v>68015.080881944465</v>
      </c>
    </row>
    <row r="32" spans="2:7" ht="15.75">
      <c r="B32" s="1201">
        <v>14</v>
      </c>
      <c r="C32" s="395">
        <f>$C$17/'Inputs &amp; Assumptions'!$V$37</f>
        <v>2734456.5611111112</v>
      </c>
      <c r="D32" s="396">
        <f>+MIN(($D$17-SUM($D$19:D31)),C32)</f>
        <v>0</v>
      </c>
      <c r="E32" s="396">
        <f t="shared" si="3"/>
        <v>2734456.5611111112</v>
      </c>
      <c r="F32" s="396">
        <f t="shared" si="4"/>
        <v>23662173.755555559</v>
      </c>
      <c r="G32" s="395">
        <f>F32*'Inputs &amp; Assumptions'!$V$12/12</f>
        <v>76902.064705555575</v>
      </c>
    </row>
    <row r="33" spans="2:8" ht="15.75">
      <c r="B33" s="1201">
        <v>15</v>
      </c>
      <c r="C33" s="395">
        <f>$C$17/'Inputs &amp; Assumptions'!$V$37</f>
        <v>2734456.5611111112</v>
      </c>
      <c r="D33" s="396">
        <f>+MIN(($D$17-SUM($D$19:D32)),C33)</f>
        <v>0</v>
      </c>
      <c r="E33" s="396">
        <f t="shared" si="3"/>
        <v>2734456.5611111112</v>
      </c>
      <c r="F33" s="396">
        <f t="shared" si="4"/>
        <v>26396630.31666667</v>
      </c>
      <c r="G33" s="395">
        <f>F33*'Inputs &amp; Assumptions'!$V$12/12</f>
        <v>85789.048529166685</v>
      </c>
    </row>
    <row r="34" spans="2:8" ht="15.75">
      <c r="B34" s="1201">
        <v>16</v>
      </c>
      <c r="C34" s="395">
        <f>$C$17/'Inputs &amp; Assumptions'!$V$37</f>
        <v>2734456.5611111112</v>
      </c>
      <c r="D34" s="396">
        <f>+MIN(($D$17-SUM($D$19:D33)),C34)</f>
        <v>0</v>
      </c>
      <c r="E34" s="396">
        <f t="shared" si="3"/>
        <v>2734456.5611111112</v>
      </c>
      <c r="F34" s="396">
        <f t="shared" si="4"/>
        <v>29131086.877777781</v>
      </c>
      <c r="G34" s="395">
        <f>F34*'Inputs &amp; Assumptions'!$V$12/12</f>
        <v>94676.03235277778</v>
      </c>
    </row>
    <row r="35" spans="2:8" ht="15.75">
      <c r="B35" s="1201">
        <v>17</v>
      </c>
      <c r="C35" s="395">
        <f>$C$17/'Inputs &amp; Assumptions'!$V$37</f>
        <v>2734456.5611111112</v>
      </c>
      <c r="D35" s="396">
        <f>+MIN(($D$17-SUM($D$19:D34)),C35)</f>
        <v>0</v>
      </c>
      <c r="E35" s="396">
        <f t="shared" si="3"/>
        <v>2734456.5611111112</v>
      </c>
      <c r="F35" s="396">
        <f t="shared" si="4"/>
        <v>31865543.438888893</v>
      </c>
      <c r="G35" s="395">
        <f>F35*'Inputs &amp; Assumptions'!$V$12/12</f>
        <v>103563.0161763889</v>
      </c>
    </row>
    <row r="36" spans="2:8" ht="15.75">
      <c r="B36" s="1201">
        <v>18</v>
      </c>
      <c r="C36" s="395">
        <f>$C$17/'Inputs &amp; Assumptions'!$V$37</f>
        <v>2734456.5611111112</v>
      </c>
      <c r="D36" s="396">
        <f>+MIN(($D$17-SUM($D$19:D35)),C36)</f>
        <v>0</v>
      </c>
      <c r="E36" s="396">
        <f t="shared" si="3"/>
        <v>2734456.5611111112</v>
      </c>
      <c r="F36" s="396">
        <f t="shared" si="4"/>
        <v>34600000</v>
      </c>
      <c r="G36" s="395">
        <f>F36*'Inputs &amp; Assumptions'!$V$12/12</f>
        <v>112450</v>
      </c>
    </row>
    <row r="37" spans="2:8" ht="15.75">
      <c r="B37" s="1201"/>
      <c r="C37" s="395"/>
      <c r="D37" s="396"/>
      <c r="E37" s="396">
        <f>SUM(E19:E36)</f>
        <v>34600000</v>
      </c>
      <c r="F37" s="396"/>
      <c r="G37" s="396">
        <f>SUM(G19:G36)</f>
        <v>768665.26175833342</v>
      </c>
    </row>
    <row r="38" spans="2:8" ht="15.75">
      <c r="B38" s="1201"/>
      <c r="C38" s="395"/>
      <c r="D38" s="396"/>
      <c r="E38" s="1205">
        <f>E37-'Cash Flows &amp; Summary'!Q27</f>
        <v>11359999.999999996</v>
      </c>
      <c r="F38" s="396"/>
      <c r="G38" s="396">
        <f>G36*H38</f>
        <v>674700</v>
      </c>
      <c r="H38" s="390">
        <v>6</v>
      </c>
    </row>
    <row r="39" spans="2:8" ht="15.75">
      <c r="B39" s="1201"/>
      <c r="C39" s="395"/>
      <c r="G39" s="396">
        <f>SUM(G37:G38)</f>
        <v>1443365.2617583335</v>
      </c>
    </row>
    <row r="40" spans="2:8" ht="15.75">
      <c r="B40" s="1201"/>
      <c r="C40" s="395"/>
      <c r="D40" s="398"/>
      <c r="E40" s="398"/>
      <c r="F40" s="398"/>
      <c r="G40" s="398"/>
    </row>
    <row r="42" spans="2:8" ht="15.75" hidden="1">
      <c r="B42" s="1201"/>
      <c r="C42" s="399"/>
    </row>
    <row r="43" spans="2:8" ht="15.75" hidden="1">
      <c r="B43" s="1203"/>
      <c r="C43" s="397"/>
    </row>
    <row r="44" spans="2:8">
      <c r="B44" s="1205"/>
      <c r="C44" s="396"/>
    </row>
    <row r="45" spans="2:8">
      <c r="B45" s="1205"/>
      <c r="C45" s="396"/>
    </row>
    <row r="47" spans="2:8">
      <c r="B47" s="400"/>
      <c r="C47" s="398"/>
    </row>
    <row r="48" spans="2:8">
      <c r="B48" s="401"/>
      <c r="C48" s="401"/>
      <c r="D48" s="401"/>
      <c r="E48" s="401"/>
      <c r="F48" s="401"/>
      <c r="G48" s="401"/>
    </row>
    <row r="49" spans="2:7">
      <c r="B49" s="398"/>
      <c r="C49" s="402"/>
      <c r="D49" s="402"/>
      <c r="E49" s="403"/>
      <c r="F49" s="403"/>
      <c r="G49" s="398"/>
    </row>
    <row r="50" spans="2:7" ht="15.75">
      <c r="B50" s="398"/>
      <c r="C50" s="404"/>
      <c r="D50" s="404"/>
      <c r="E50" s="398"/>
      <c r="F50" s="398"/>
      <c r="G50" s="398"/>
    </row>
    <row r="51" spans="2:7" ht="15.75">
      <c r="B51" s="1206"/>
      <c r="C51" s="404"/>
      <c r="D51" s="405"/>
      <c r="E51" s="405"/>
      <c r="F51" s="405"/>
      <c r="G51" s="404"/>
    </row>
    <row r="52" spans="2:7" ht="15.75">
      <c r="B52" s="1206"/>
      <c r="C52" s="404"/>
      <c r="D52" s="405"/>
      <c r="E52" s="405"/>
      <c r="F52" s="405"/>
      <c r="G52" s="404"/>
    </row>
    <row r="53" spans="2:7" ht="15.75">
      <c r="B53" s="1206"/>
      <c r="C53" s="404"/>
      <c r="D53" s="405"/>
      <c r="E53" s="405"/>
      <c r="F53" s="405"/>
      <c r="G53" s="404"/>
    </row>
    <row r="54" spans="2:7" ht="15.75">
      <c r="B54" s="1206"/>
      <c r="C54" s="404"/>
      <c r="D54" s="405"/>
      <c r="E54" s="405"/>
      <c r="F54" s="405"/>
      <c r="G54" s="404"/>
    </row>
    <row r="55" spans="2:7" ht="15.75">
      <c r="B55" s="1206"/>
      <c r="C55" s="404"/>
      <c r="D55" s="405"/>
      <c r="E55" s="405"/>
      <c r="F55" s="405"/>
      <c r="G55" s="404"/>
    </row>
    <row r="56" spans="2:7" ht="15.75">
      <c r="B56" s="1206"/>
      <c r="C56" s="404"/>
      <c r="D56" s="405"/>
      <c r="E56" s="405"/>
      <c r="F56" s="405"/>
      <c r="G56" s="404"/>
    </row>
    <row r="57" spans="2:7" ht="15.75">
      <c r="B57" s="1206"/>
      <c r="C57" s="404"/>
      <c r="D57" s="405"/>
      <c r="E57" s="405"/>
      <c r="F57" s="405"/>
      <c r="G57" s="404"/>
    </row>
    <row r="58" spans="2:7" ht="15.75">
      <c r="B58" s="1206"/>
      <c r="C58" s="404"/>
      <c r="D58" s="405"/>
      <c r="E58" s="405"/>
      <c r="F58" s="405"/>
      <c r="G58" s="404"/>
    </row>
    <row r="59" spans="2:7" ht="15.75">
      <c r="B59" s="1206"/>
      <c r="C59" s="404"/>
      <c r="D59" s="405"/>
      <c r="E59" s="405"/>
      <c r="F59" s="405"/>
      <c r="G59" s="404"/>
    </row>
    <row r="60" spans="2:7" ht="15.75">
      <c r="B60" s="1206"/>
      <c r="C60" s="404"/>
      <c r="D60" s="405"/>
      <c r="E60" s="405"/>
      <c r="F60" s="405"/>
      <c r="G60" s="404"/>
    </row>
    <row r="61" spans="2:7" ht="15.75" hidden="1">
      <c r="B61" s="1206"/>
      <c r="C61" s="404"/>
      <c r="D61" s="405"/>
      <c r="E61" s="405"/>
      <c r="F61" s="405"/>
      <c r="G61" s="404"/>
    </row>
    <row r="62" spans="2:7" ht="15.75" hidden="1">
      <c r="B62" s="1206"/>
      <c r="C62" s="404"/>
      <c r="D62" s="405"/>
      <c r="E62" s="405"/>
      <c r="F62" s="405"/>
      <c r="G62" s="404"/>
    </row>
    <row r="63" spans="2:7" ht="15.75" hidden="1">
      <c r="B63" s="1206"/>
      <c r="C63" s="404"/>
      <c r="D63" s="405"/>
      <c r="E63" s="405"/>
      <c r="F63" s="405"/>
      <c r="G63" s="404"/>
    </row>
    <row r="64" spans="2:7" ht="15.75" hidden="1">
      <c r="B64" s="1206"/>
      <c r="C64" s="404"/>
      <c r="D64" s="405"/>
      <c r="E64" s="405"/>
      <c r="F64" s="405"/>
      <c r="G64" s="404"/>
    </row>
    <row r="65" spans="2:7">
      <c r="B65" s="398"/>
      <c r="C65" s="405"/>
      <c r="D65" s="405"/>
      <c r="E65" s="405"/>
      <c r="F65" s="405"/>
      <c r="G65" s="405"/>
    </row>
    <row r="66" spans="2:7">
      <c r="B66" s="398"/>
      <c r="C66" s="398"/>
      <c r="D66" s="398"/>
      <c r="E66" s="405"/>
      <c r="F66" s="398"/>
      <c r="G66" s="398"/>
    </row>
    <row r="67" spans="2:7">
      <c r="B67" s="398"/>
      <c r="C67" s="398"/>
      <c r="D67" s="398"/>
      <c r="E67" s="398"/>
      <c r="F67" s="398"/>
      <c r="G67" s="398"/>
    </row>
    <row r="68" spans="2:7">
      <c r="B68" s="398"/>
      <c r="C68" s="398"/>
      <c r="D68" s="398"/>
      <c r="E68" s="398"/>
      <c r="F68" s="406"/>
      <c r="G68" s="405"/>
    </row>
    <row r="69" spans="2:7">
      <c r="B69" s="398"/>
      <c r="C69" s="398"/>
      <c r="D69" s="398"/>
      <c r="E69" s="398"/>
      <c r="F69" s="406"/>
      <c r="G69" s="405"/>
    </row>
    <row r="70" spans="2:7">
      <c r="B70" s="398"/>
      <c r="C70" s="398"/>
      <c r="D70" s="398"/>
      <c r="E70" s="398"/>
      <c r="F70" s="398"/>
      <c r="G70" s="405"/>
    </row>
    <row r="71" spans="2:7">
      <c r="B71" s="398"/>
      <c r="C71" s="398"/>
      <c r="D71" s="398"/>
      <c r="E71" s="398"/>
      <c r="F71" s="398"/>
      <c r="G71" s="398"/>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4925F-3801-443D-8862-855E9197629B}">
  <dimension ref="A1:Z10"/>
  <sheetViews>
    <sheetView workbookViewId="0">
      <selection activeCell="C2" sqref="C2:C10"/>
    </sheetView>
  </sheetViews>
  <sheetFormatPr defaultRowHeight="15.75"/>
  <cols>
    <col min="1" max="1" width="10.25" bestFit="1" customWidth="1"/>
    <col min="2" max="2" width="6.125" bestFit="1" customWidth="1"/>
    <col min="3" max="3" width="27.5" bestFit="1" customWidth="1"/>
    <col min="4" max="4" width="19" bestFit="1" customWidth="1"/>
    <col min="5" max="5" width="6.25" bestFit="1" customWidth="1"/>
    <col min="6" max="6" width="22.125" bestFit="1" customWidth="1"/>
    <col min="7" max="7" width="23.625" bestFit="1" customWidth="1"/>
    <col min="8" max="8" width="27.625" bestFit="1" customWidth="1"/>
    <col min="9" max="9" width="5.25" bestFit="1" customWidth="1"/>
    <col min="10" max="10" width="6.625" bestFit="1" customWidth="1"/>
    <col min="11" max="11" width="9.875" bestFit="1" customWidth="1"/>
    <col min="12" max="12" width="6.25" bestFit="1" customWidth="1"/>
    <col min="13" max="13" width="8.125" bestFit="1" customWidth="1"/>
    <col min="14" max="14" width="7.625" bestFit="1" customWidth="1"/>
    <col min="15" max="15" width="9.125" bestFit="1" customWidth="1"/>
    <col min="16" max="19" width="7.125" bestFit="1" customWidth="1"/>
    <col min="20" max="20" width="6.625" bestFit="1" customWidth="1"/>
    <col min="21" max="21" width="9.375" bestFit="1" customWidth="1"/>
    <col min="22" max="22" width="7.125" bestFit="1" customWidth="1"/>
    <col min="23" max="25" width="7.375" bestFit="1" customWidth="1"/>
    <col min="26" max="26" width="23.375" bestFit="1" customWidth="1"/>
  </cols>
  <sheetData>
    <row r="1" spans="1:26" s="455" customFormat="1" ht="15">
      <c r="A1" s="455" t="s">
        <v>530</v>
      </c>
      <c r="B1" s="455" t="s">
        <v>531</v>
      </c>
      <c r="C1" s="455" t="s">
        <v>532</v>
      </c>
      <c r="D1" s="455" t="s">
        <v>45</v>
      </c>
      <c r="E1" s="455" t="s">
        <v>533</v>
      </c>
      <c r="F1" s="455" t="s">
        <v>534</v>
      </c>
      <c r="G1" s="455" t="s">
        <v>535</v>
      </c>
      <c r="H1" s="455" t="s">
        <v>536</v>
      </c>
      <c r="I1" s="455" t="s">
        <v>410</v>
      </c>
      <c r="J1" s="455" t="s">
        <v>537</v>
      </c>
      <c r="K1" s="455" t="s">
        <v>538</v>
      </c>
      <c r="L1" s="455" t="s">
        <v>539</v>
      </c>
      <c r="M1" s="455" t="s">
        <v>540</v>
      </c>
      <c r="N1" s="455" t="s">
        <v>541</v>
      </c>
      <c r="O1" s="455" t="s">
        <v>542</v>
      </c>
      <c r="P1" s="455" t="s">
        <v>543</v>
      </c>
      <c r="Q1" s="455" t="s">
        <v>544</v>
      </c>
      <c r="R1" s="455" t="s">
        <v>545</v>
      </c>
      <c r="S1" s="455" t="s">
        <v>546</v>
      </c>
      <c r="T1" s="455" t="s">
        <v>547</v>
      </c>
      <c r="U1" s="455" t="s">
        <v>548</v>
      </c>
      <c r="V1" s="455" t="s">
        <v>549</v>
      </c>
      <c r="W1" s="455" t="s">
        <v>550</v>
      </c>
      <c r="X1" s="455" t="s">
        <v>551</v>
      </c>
      <c r="Y1" s="455" t="s">
        <v>552</v>
      </c>
      <c r="Z1" s="455" t="s">
        <v>553</v>
      </c>
    </row>
    <row r="2" spans="1:26" s="464" customFormat="1">
      <c r="A2" s="456" t="s">
        <v>554</v>
      </c>
      <c r="B2" s="457" t="s">
        <v>555</v>
      </c>
      <c r="C2" s="456" t="s">
        <v>7</v>
      </c>
      <c r="D2" s="456" t="s">
        <v>556</v>
      </c>
      <c r="E2" s="457">
        <v>3</v>
      </c>
      <c r="F2" s="456" t="s">
        <v>555</v>
      </c>
      <c r="G2" s="458">
        <v>0</v>
      </c>
      <c r="H2" s="459" t="s">
        <v>555</v>
      </c>
      <c r="I2" s="458">
        <v>200</v>
      </c>
      <c r="J2" s="458">
        <v>3</v>
      </c>
      <c r="K2" s="460" t="s">
        <v>557</v>
      </c>
      <c r="L2" s="458">
        <v>1426</v>
      </c>
      <c r="M2" s="461">
        <v>0</v>
      </c>
      <c r="N2" s="462">
        <v>1.33</v>
      </c>
      <c r="O2" s="463">
        <v>1897</v>
      </c>
      <c r="P2" s="463" t="s">
        <v>555</v>
      </c>
      <c r="Q2" s="463" t="s">
        <v>555</v>
      </c>
      <c r="R2" s="463">
        <v>1802</v>
      </c>
      <c r="S2" s="463">
        <v>1978</v>
      </c>
      <c r="T2" s="459">
        <v>0.95499999999999996</v>
      </c>
      <c r="U2" s="459">
        <v>6.0000000000000001E-3</v>
      </c>
      <c r="V2" s="458">
        <v>0</v>
      </c>
      <c r="W2" s="458">
        <v>0</v>
      </c>
      <c r="X2" s="458">
        <v>92</v>
      </c>
      <c r="Y2" s="458">
        <v>108</v>
      </c>
      <c r="Z2" s="456" t="s">
        <v>558</v>
      </c>
    </row>
    <row r="3" spans="1:26" s="473" customFormat="1">
      <c r="A3" s="465" t="s">
        <v>559</v>
      </c>
      <c r="B3" s="466">
        <v>1</v>
      </c>
      <c r="C3" s="465" t="s">
        <v>560</v>
      </c>
      <c r="D3" s="465" t="s">
        <v>561</v>
      </c>
      <c r="E3" s="466">
        <v>4</v>
      </c>
      <c r="F3" s="465" t="s">
        <v>562</v>
      </c>
      <c r="G3" s="467">
        <v>0</v>
      </c>
      <c r="H3" s="468" t="s">
        <v>555</v>
      </c>
      <c r="I3" s="467">
        <v>298</v>
      </c>
      <c r="J3" s="467">
        <v>2</v>
      </c>
      <c r="K3" s="469" t="s">
        <v>563</v>
      </c>
      <c r="L3" s="467">
        <v>1074</v>
      </c>
      <c r="M3" s="470">
        <v>0.62</v>
      </c>
      <c r="N3" s="471">
        <v>1.69</v>
      </c>
      <c r="O3" s="472">
        <v>1813</v>
      </c>
      <c r="P3" s="472" t="s">
        <v>555</v>
      </c>
      <c r="Q3" s="472">
        <v>1637</v>
      </c>
      <c r="R3" s="472">
        <v>1950</v>
      </c>
      <c r="S3" s="472">
        <v>2232</v>
      </c>
      <c r="T3" s="468">
        <v>0.98</v>
      </c>
      <c r="U3" s="468">
        <v>4.0000000000000001E-3</v>
      </c>
      <c r="V3" s="467">
        <v>0</v>
      </c>
      <c r="W3" s="467">
        <v>145</v>
      </c>
      <c r="X3" s="467">
        <v>137</v>
      </c>
      <c r="Y3" s="467">
        <v>16</v>
      </c>
      <c r="Z3" s="465" t="s">
        <v>558</v>
      </c>
    </row>
    <row r="4" spans="1:26" s="464" customFormat="1">
      <c r="A4" s="456" t="s">
        <v>564</v>
      </c>
      <c r="B4" s="457">
        <v>2</v>
      </c>
      <c r="C4" s="456" t="s">
        <v>565</v>
      </c>
      <c r="D4" s="456" t="s">
        <v>566</v>
      </c>
      <c r="E4" s="457">
        <v>4</v>
      </c>
      <c r="F4" s="456" t="s">
        <v>567</v>
      </c>
      <c r="G4" s="458">
        <v>0</v>
      </c>
      <c r="H4" s="459" t="s">
        <v>555</v>
      </c>
      <c r="I4" s="458">
        <v>280</v>
      </c>
      <c r="J4" s="458">
        <v>3</v>
      </c>
      <c r="K4" s="460" t="s">
        <v>568</v>
      </c>
      <c r="L4" s="458">
        <v>921</v>
      </c>
      <c r="M4" s="461">
        <v>0.5</v>
      </c>
      <c r="N4" s="462">
        <v>1.68</v>
      </c>
      <c r="O4" s="463">
        <v>1546</v>
      </c>
      <c r="P4" s="463" t="s">
        <v>555</v>
      </c>
      <c r="Q4" s="463">
        <v>1378</v>
      </c>
      <c r="R4" s="463">
        <v>1663</v>
      </c>
      <c r="S4" s="463">
        <v>2043</v>
      </c>
      <c r="T4" s="459">
        <v>0.95</v>
      </c>
      <c r="U4" s="459">
        <v>6.0000000000000001E-3</v>
      </c>
      <c r="V4" s="458">
        <v>0</v>
      </c>
      <c r="W4" s="458">
        <v>136</v>
      </c>
      <c r="X4" s="458">
        <v>128</v>
      </c>
      <c r="Y4" s="458">
        <v>16</v>
      </c>
      <c r="Z4" s="456" t="s">
        <v>558</v>
      </c>
    </row>
    <row r="5" spans="1:26" s="473" customFormat="1">
      <c r="A5" s="465" t="s">
        <v>569</v>
      </c>
      <c r="B5" s="466">
        <v>3</v>
      </c>
      <c r="C5" s="465" t="s">
        <v>570</v>
      </c>
      <c r="D5" s="465" t="s">
        <v>571</v>
      </c>
      <c r="E5" s="466">
        <v>4</v>
      </c>
      <c r="F5" s="465" t="s">
        <v>572</v>
      </c>
      <c r="G5" s="467">
        <v>0</v>
      </c>
      <c r="H5" s="468" t="s">
        <v>555</v>
      </c>
      <c r="I5" s="467">
        <v>276</v>
      </c>
      <c r="J5" s="467">
        <v>3</v>
      </c>
      <c r="K5" s="469" t="s">
        <v>573</v>
      </c>
      <c r="L5" s="467">
        <v>981</v>
      </c>
      <c r="M5" s="470">
        <v>0.88</v>
      </c>
      <c r="N5" s="471">
        <v>1.64</v>
      </c>
      <c r="O5" s="472">
        <v>1613</v>
      </c>
      <c r="P5" s="472" t="s">
        <v>555</v>
      </c>
      <c r="Q5" s="472">
        <v>1332</v>
      </c>
      <c r="R5" s="472">
        <v>1805</v>
      </c>
      <c r="S5" s="472">
        <v>2171</v>
      </c>
      <c r="T5" s="468">
        <v>0.92</v>
      </c>
      <c r="U5" s="468">
        <v>8.0000000000000002E-3</v>
      </c>
      <c r="V5" s="467">
        <v>0</v>
      </c>
      <c r="W5" s="467">
        <v>124</v>
      </c>
      <c r="X5" s="467">
        <v>136</v>
      </c>
      <c r="Y5" s="467">
        <v>16</v>
      </c>
      <c r="Z5" s="465" t="s">
        <v>558</v>
      </c>
    </row>
    <row r="6" spans="1:26" s="464" customFormat="1">
      <c r="A6" s="456" t="s">
        <v>574</v>
      </c>
      <c r="B6" s="457">
        <v>4</v>
      </c>
      <c r="C6" s="456" t="s">
        <v>575</v>
      </c>
      <c r="D6" s="456" t="s">
        <v>576</v>
      </c>
      <c r="E6" s="457">
        <v>4</v>
      </c>
      <c r="F6" s="456" t="s">
        <v>567</v>
      </c>
      <c r="G6" s="458">
        <v>0</v>
      </c>
      <c r="H6" s="459" t="s">
        <v>555</v>
      </c>
      <c r="I6" s="458">
        <v>228</v>
      </c>
      <c r="J6" s="458">
        <v>3</v>
      </c>
      <c r="K6" s="460" t="s">
        <v>577</v>
      </c>
      <c r="L6" s="458">
        <v>985</v>
      </c>
      <c r="M6" s="461">
        <v>0.74</v>
      </c>
      <c r="N6" s="462">
        <v>1.64</v>
      </c>
      <c r="O6" s="463">
        <v>1617</v>
      </c>
      <c r="P6" s="463" t="s">
        <v>555</v>
      </c>
      <c r="Q6" s="463">
        <v>1321</v>
      </c>
      <c r="R6" s="463">
        <v>1790</v>
      </c>
      <c r="S6" s="463">
        <v>2497</v>
      </c>
      <c r="T6" s="459">
        <v>0.94699999999999995</v>
      </c>
      <c r="U6" s="459">
        <v>0</v>
      </c>
      <c r="V6" s="458">
        <v>0</v>
      </c>
      <c r="W6" s="458">
        <v>108</v>
      </c>
      <c r="X6" s="458">
        <v>104</v>
      </c>
      <c r="Y6" s="458">
        <v>16</v>
      </c>
      <c r="Z6" s="456" t="s">
        <v>558</v>
      </c>
    </row>
    <row r="7" spans="1:26" s="473" customFormat="1">
      <c r="A7" s="465" t="s">
        <v>578</v>
      </c>
      <c r="B7" s="466">
        <v>5</v>
      </c>
      <c r="C7" s="465" t="s">
        <v>579</v>
      </c>
      <c r="D7" s="465" t="s">
        <v>580</v>
      </c>
      <c r="E7" s="466">
        <v>4</v>
      </c>
      <c r="F7" s="465" t="s">
        <v>567</v>
      </c>
      <c r="G7" s="467">
        <v>0</v>
      </c>
      <c r="H7" s="468" t="s">
        <v>555</v>
      </c>
      <c r="I7" s="467">
        <v>225</v>
      </c>
      <c r="J7" s="467">
        <v>6</v>
      </c>
      <c r="K7" s="469" t="s">
        <v>581</v>
      </c>
      <c r="L7" s="467">
        <v>1042</v>
      </c>
      <c r="M7" s="470">
        <v>0.68</v>
      </c>
      <c r="N7" s="471">
        <v>1.64</v>
      </c>
      <c r="O7" s="472">
        <v>1710</v>
      </c>
      <c r="P7" s="472">
        <v>1295</v>
      </c>
      <c r="Q7" s="472">
        <v>1490</v>
      </c>
      <c r="R7" s="472">
        <v>1840</v>
      </c>
      <c r="S7" s="472">
        <v>2222</v>
      </c>
      <c r="T7" s="468">
        <v>0.96399999999999997</v>
      </c>
      <c r="U7" s="468">
        <v>6.0000000000000001E-3</v>
      </c>
      <c r="V7" s="467">
        <v>57</v>
      </c>
      <c r="W7" s="467">
        <v>56</v>
      </c>
      <c r="X7" s="467">
        <v>56</v>
      </c>
      <c r="Y7" s="467">
        <v>56</v>
      </c>
      <c r="Z7" s="465" t="s">
        <v>558</v>
      </c>
    </row>
    <row r="8" spans="1:26" s="464" customFormat="1">
      <c r="A8" s="456" t="s">
        <v>582</v>
      </c>
      <c r="B8" s="457">
        <v>6</v>
      </c>
      <c r="C8" s="456" t="s">
        <v>583</v>
      </c>
      <c r="D8" s="456" t="s">
        <v>584</v>
      </c>
      <c r="E8" s="457">
        <v>4</v>
      </c>
      <c r="F8" s="456" t="s">
        <v>562</v>
      </c>
      <c r="G8" s="458">
        <v>0</v>
      </c>
      <c r="H8" s="459" t="s">
        <v>555</v>
      </c>
      <c r="I8" s="458">
        <v>360</v>
      </c>
      <c r="J8" s="458">
        <v>2</v>
      </c>
      <c r="K8" s="460" t="s">
        <v>585</v>
      </c>
      <c r="L8" s="458">
        <v>1071</v>
      </c>
      <c r="M8" s="461">
        <v>0.84</v>
      </c>
      <c r="N8" s="462">
        <v>1.48</v>
      </c>
      <c r="O8" s="463">
        <v>1584</v>
      </c>
      <c r="P8" s="463" t="s">
        <v>555</v>
      </c>
      <c r="Q8" s="463">
        <v>1390</v>
      </c>
      <c r="R8" s="463">
        <v>1702</v>
      </c>
      <c r="S8" s="463">
        <v>2207</v>
      </c>
      <c r="T8" s="459">
        <v>0.95</v>
      </c>
      <c r="U8" s="459">
        <v>6.0000000000000001E-3</v>
      </c>
      <c r="V8" s="458">
        <v>0</v>
      </c>
      <c r="W8" s="458">
        <v>188</v>
      </c>
      <c r="X8" s="458">
        <v>140</v>
      </c>
      <c r="Y8" s="458">
        <v>32</v>
      </c>
      <c r="Z8" s="456" t="s">
        <v>558</v>
      </c>
    </row>
    <row r="9" spans="1:26" s="473" customFormat="1">
      <c r="A9" s="465" t="s">
        <v>586</v>
      </c>
      <c r="B9" s="466">
        <v>7</v>
      </c>
      <c r="C9" s="465" t="s">
        <v>587</v>
      </c>
      <c r="D9" s="465" t="s">
        <v>588</v>
      </c>
      <c r="E9" s="466">
        <v>4</v>
      </c>
      <c r="F9" s="465" t="s">
        <v>555</v>
      </c>
      <c r="G9" s="467">
        <v>0</v>
      </c>
      <c r="H9" s="468" t="s">
        <v>555</v>
      </c>
      <c r="I9" s="467">
        <v>364</v>
      </c>
      <c r="J9" s="467">
        <v>2</v>
      </c>
      <c r="K9" s="469" t="s">
        <v>589</v>
      </c>
      <c r="L9" s="467">
        <v>1028</v>
      </c>
      <c r="M9" s="470">
        <v>0.19</v>
      </c>
      <c r="N9" s="471">
        <v>1.41</v>
      </c>
      <c r="O9" s="472">
        <v>1454</v>
      </c>
      <c r="P9" s="472" t="s">
        <v>555</v>
      </c>
      <c r="Q9" s="472">
        <v>1128</v>
      </c>
      <c r="R9" s="472">
        <v>1562</v>
      </c>
      <c r="S9" s="472">
        <v>2111</v>
      </c>
      <c r="T9" s="468">
        <v>0.94799999999999995</v>
      </c>
      <c r="U9" s="468">
        <v>0</v>
      </c>
      <c r="V9" s="467">
        <v>0</v>
      </c>
      <c r="W9" s="467">
        <v>156</v>
      </c>
      <c r="X9" s="467">
        <v>156</v>
      </c>
      <c r="Y9" s="467">
        <v>52</v>
      </c>
      <c r="Z9" s="465" t="s">
        <v>558</v>
      </c>
    </row>
    <row r="10" spans="1:26" s="464" customFormat="1">
      <c r="A10" s="456" t="s">
        <v>590</v>
      </c>
      <c r="B10" s="457">
        <v>8</v>
      </c>
      <c r="C10" s="456" t="s">
        <v>591</v>
      </c>
      <c r="D10" s="456" t="s">
        <v>592</v>
      </c>
      <c r="E10" s="457">
        <v>3</v>
      </c>
      <c r="F10" s="456" t="s">
        <v>562</v>
      </c>
      <c r="G10" s="458">
        <v>0</v>
      </c>
      <c r="H10" s="459" t="s">
        <v>555</v>
      </c>
      <c r="I10" s="458">
        <v>254</v>
      </c>
      <c r="J10" s="458">
        <v>2</v>
      </c>
      <c r="K10" s="460" t="s">
        <v>593</v>
      </c>
      <c r="L10" s="458">
        <v>1226</v>
      </c>
      <c r="M10" s="461">
        <v>0.33</v>
      </c>
      <c r="N10" s="462">
        <v>1.35</v>
      </c>
      <c r="O10" s="463">
        <v>1658</v>
      </c>
      <c r="P10" s="463" t="s">
        <v>555</v>
      </c>
      <c r="Q10" s="463">
        <v>1245</v>
      </c>
      <c r="R10" s="463">
        <v>1742</v>
      </c>
      <c r="S10" s="463">
        <v>2175</v>
      </c>
      <c r="T10" s="459">
        <v>0.93300000000000005</v>
      </c>
      <c r="U10" s="459">
        <v>0</v>
      </c>
      <c r="V10" s="458">
        <v>0</v>
      </c>
      <c r="W10" s="458">
        <v>77</v>
      </c>
      <c r="X10" s="458">
        <v>138</v>
      </c>
      <c r="Y10" s="458">
        <v>39</v>
      </c>
      <c r="Z10" s="456" t="s">
        <v>558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67BC0-BC6F-4826-8758-BB8D3B718F88}">
  <sheetPr>
    <pageSetUpPr fitToPage="1"/>
  </sheetPr>
  <dimension ref="A1:Y277"/>
  <sheetViews>
    <sheetView showGridLines="0" zoomScale="80" zoomScaleNormal="80" workbookViewId="0">
      <pane ySplit="20" topLeftCell="A21" activePane="bottomLeft" state="frozen"/>
      <selection pane="bottomLeft" activeCell="J4" sqref="J4"/>
    </sheetView>
  </sheetViews>
  <sheetFormatPr defaultColWidth="9" defaultRowHeight="15"/>
  <cols>
    <col min="1" max="1" width="1" style="475" customWidth="1"/>
    <col min="2" max="2" width="11.125" style="475" bestFit="1" customWidth="1"/>
    <col min="3" max="3" width="23.625" style="475" bestFit="1" customWidth="1"/>
    <col min="4" max="4" width="10.25" style="475" bestFit="1" customWidth="1"/>
    <col min="5" max="7" width="10.25" style="475" customWidth="1"/>
    <col min="8" max="8" width="11.875" style="475" bestFit="1" customWidth="1"/>
    <col min="9" max="9" width="8.375" style="475" bestFit="1" customWidth="1"/>
    <col min="10" max="10" width="8.625" style="475" bestFit="1" customWidth="1"/>
    <col min="11" max="11" width="11.25" style="475" bestFit="1" customWidth="1"/>
    <col min="12" max="12" width="9.125" style="475" customWidth="1"/>
    <col min="13" max="13" width="7.125" style="475" customWidth="1"/>
    <col min="14" max="14" width="13" style="475" customWidth="1"/>
    <col min="15" max="15" width="15.625" style="475" bestFit="1" customWidth="1"/>
    <col min="16" max="16" width="16" style="475" customWidth="1"/>
    <col min="17" max="17" width="16" style="475" bestFit="1" customWidth="1"/>
    <col min="18" max="18" width="21.25" style="475" customWidth="1"/>
    <col min="19" max="19" width="16.875" style="475" bestFit="1" customWidth="1"/>
    <col min="20" max="21" width="18.875" style="475" bestFit="1" customWidth="1"/>
    <col min="22" max="22" width="13.375" style="475" bestFit="1" customWidth="1"/>
    <col min="23" max="23" width="13.125" style="475" customWidth="1"/>
    <col min="24" max="25" width="11.875" style="475" bestFit="1" customWidth="1"/>
    <col min="26" max="26" width="1.25" style="475" customWidth="1"/>
    <col min="27" max="27" width="11.75" style="475" bestFit="1" customWidth="1"/>
    <col min="28" max="28" width="4.75" style="475" bestFit="1" customWidth="1"/>
    <col min="29" max="29" width="9.75" style="475" bestFit="1" customWidth="1"/>
    <col min="30" max="30" width="16" style="475" bestFit="1" customWidth="1"/>
    <col min="31" max="33" width="16" style="475" customWidth="1"/>
    <col min="34" max="35" width="18.875" style="475" bestFit="1" customWidth="1"/>
    <col min="36" max="16384" width="9" style="475"/>
  </cols>
  <sheetData>
    <row r="1" spans="1:25" ht="15.75" thickBot="1">
      <c r="A1" s="475" t="s">
        <v>86</v>
      </c>
    </row>
    <row r="2" spans="1:25" ht="18.75">
      <c r="C2" s="476" t="s">
        <v>594</v>
      </c>
      <c r="D2" s="476"/>
      <c r="E2" s="476"/>
      <c r="F2" s="476"/>
      <c r="G2" s="476"/>
      <c r="H2" s="476"/>
      <c r="I2" s="476"/>
      <c r="J2" s="476"/>
      <c r="K2" s="476"/>
      <c r="L2" s="476"/>
      <c r="M2" s="477"/>
      <c r="N2" s="477"/>
      <c r="O2" s="477"/>
      <c r="P2" s="477"/>
      <c r="Q2" s="477"/>
      <c r="R2" s="477"/>
      <c r="S2" s="477"/>
      <c r="T2" s="477"/>
      <c r="U2" s="477"/>
      <c r="V2" s="477"/>
      <c r="W2" s="478"/>
      <c r="X2" s="478"/>
      <c r="Y2" s="478"/>
    </row>
    <row r="3" spans="1:25" ht="15.75">
      <c r="B3" s="480" t="s">
        <v>595</v>
      </c>
      <c r="C3" s="495" t="s">
        <v>596</v>
      </c>
      <c r="D3" s="496" t="s">
        <v>597</v>
      </c>
      <c r="E3" s="496" t="s">
        <v>537</v>
      </c>
      <c r="F3" s="496" t="s">
        <v>598</v>
      </c>
      <c r="G3" s="496" t="s">
        <v>599</v>
      </c>
      <c r="H3" s="496" t="s">
        <v>600</v>
      </c>
      <c r="I3" s="496" t="s">
        <v>601</v>
      </c>
      <c r="J3" s="496" t="s">
        <v>602</v>
      </c>
      <c r="K3" s="496" t="s">
        <v>603</v>
      </c>
      <c r="L3" s="479" t="s">
        <v>430</v>
      </c>
      <c r="M3" s="479" t="s">
        <v>604</v>
      </c>
      <c r="N3" s="479" t="s">
        <v>605</v>
      </c>
      <c r="O3" s="479" t="s">
        <v>606</v>
      </c>
      <c r="P3" s="479" t="s">
        <v>495</v>
      </c>
      <c r="Q3" s="479" t="s">
        <v>607</v>
      </c>
      <c r="R3" s="479" t="s">
        <v>427</v>
      </c>
      <c r="S3" s="479" t="s">
        <v>608</v>
      </c>
      <c r="T3" s="479" t="s">
        <v>609</v>
      </c>
      <c r="U3" s="479" t="s">
        <v>610</v>
      </c>
      <c r="V3" s="479" t="s">
        <v>611</v>
      </c>
      <c r="W3" s="479" t="s">
        <v>612</v>
      </c>
      <c r="X3" s="479" t="s">
        <v>500</v>
      </c>
      <c r="Y3" s="479" t="s">
        <v>613</v>
      </c>
    </row>
    <row r="4" spans="1:25">
      <c r="B4" s="480">
        <v>1</v>
      </c>
      <c r="C4" s="488" t="str">
        <f>'Inputs &amp; Assumptions'!D4</f>
        <v>Madison Overland Park</v>
      </c>
      <c r="D4" s="489">
        <v>293</v>
      </c>
      <c r="E4" s="489">
        <f>2</f>
        <v>2</v>
      </c>
      <c r="F4" s="489">
        <f>'Inputs &amp; Assumptions'!D11</f>
        <v>1999</v>
      </c>
      <c r="G4" s="688">
        <v>0.97</v>
      </c>
      <c r="H4" s="489">
        <v>0</v>
      </c>
      <c r="I4" s="490">
        <f>'Cash Flows &amp; Summary'!AA36</f>
        <v>1961.875</v>
      </c>
      <c r="J4" s="491">
        <f>'Inputs &amp; Assumptions'!R13</f>
        <v>1.4867235146599196</v>
      </c>
      <c r="K4" s="491" t="s">
        <v>614</v>
      </c>
      <c r="L4" s="489" t="s">
        <v>614</v>
      </c>
      <c r="M4" s="489" t="s">
        <v>614</v>
      </c>
      <c r="N4" s="489"/>
      <c r="O4" s="489" t="s">
        <v>614</v>
      </c>
      <c r="P4" s="489" t="s">
        <v>614</v>
      </c>
      <c r="Q4" s="489"/>
      <c r="R4" s="489" t="s">
        <v>614</v>
      </c>
      <c r="S4" s="489" t="s">
        <v>614</v>
      </c>
      <c r="T4" s="489"/>
      <c r="U4" s="489" t="s">
        <v>614</v>
      </c>
      <c r="V4" s="489" t="s">
        <v>614</v>
      </c>
      <c r="W4" s="489"/>
      <c r="X4" s="489" t="s">
        <v>614</v>
      </c>
      <c r="Y4" s="492"/>
    </row>
    <row r="5" spans="1:25">
      <c r="B5" s="475">
        <v>2</v>
      </c>
      <c r="C5" s="1207" t="s">
        <v>615</v>
      </c>
      <c r="D5" s="498">
        <v>306</v>
      </c>
      <c r="E5" s="498">
        <v>2</v>
      </c>
      <c r="F5" s="498">
        <v>1997</v>
      </c>
      <c r="G5" s="504">
        <f>1-P37</f>
        <v>0.94769999999999999</v>
      </c>
      <c r="H5" s="498">
        <v>3</v>
      </c>
      <c r="I5" s="499">
        <f>S37</f>
        <v>1855</v>
      </c>
      <c r="J5" s="500">
        <f>T37</f>
        <v>1.63</v>
      </c>
      <c r="K5" s="1208" t="s">
        <v>614</v>
      </c>
      <c r="L5" s="1209" t="s">
        <v>614</v>
      </c>
      <c r="M5" s="498"/>
      <c r="N5" s="1209" t="s">
        <v>614</v>
      </c>
      <c r="O5" s="1209" t="s">
        <v>614</v>
      </c>
      <c r="P5" s="1209" t="s">
        <v>614</v>
      </c>
      <c r="Q5" s="498"/>
      <c r="R5" s="1209" t="s">
        <v>614</v>
      </c>
      <c r="S5" s="1209" t="s">
        <v>614</v>
      </c>
      <c r="T5" s="1209" t="s">
        <v>614</v>
      </c>
      <c r="U5" s="1209" t="s">
        <v>614</v>
      </c>
      <c r="V5" s="1209" t="s">
        <v>614</v>
      </c>
      <c r="W5" s="498"/>
      <c r="X5" s="498"/>
      <c r="Y5" s="493"/>
    </row>
    <row r="6" spans="1:25">
      <c r="B6" s="480">
        <v>3</v>
      </c>
      <c r="C6" s="695" t="s">
        <v>616</v>
      </c>
      <c r="D6" s="696">
        <v>437</v>
      </c>
      <c r="E6" s="696">
        <v>2</v>
      </c>
      <c r="F6" s="696">
        <v>1987</v>
      </c>
      <c r="G6" s="697">
        <f>1-P56</f>
        <v>0.94499999999999995</v>
      </c>
      <c r="H6" s="696">
        <v>1.5</v>
      </c>
      <c r="I6" s="698">
        <f>Q56</f>
        <v>1452</v>
      </c>
      <c r="J6" s="699">
        <f>T56</f>
        <v>1.62</v>
      </c>
      <c r="K6" s="699"/>
      <c r="L6" s="1210" t="s">
        <v>614</v>
      </c>
      <c r="M6" s="1210" t="s">
        <v>614</v>
      </c>
      <c r="N6" s="1210" t="s">
        <v>614</v>
      </c>
      <c r="O6" s="1210" t="s">
        <v>614</v>
      </c>
      <c r="P6" s="1210" t="s">
        <v>614</v>
      </c>
      <c r="Q6" s="696"/>
      <c r="R6" s="1210" t="s">
        <v>614</v>
      </c>
      <c r="S6" s="1210" t="s">
        <v>614</v>
      </c>
      <c r="T6" s="696"/>
      <c r="U6" s="696"/>
      <c r="V6" s="1210" t="s">
        <v>614</v>
      </c>
      <c r="W6" s="696"/>
      <c r="X6" s="696"/>
      <c r="Y6" s="700"/>
    </row>
    <row r="7" spans="1:25">
      <c r="B7" s="475">
        <v>4</v>
      </c>
      <c r="C7" s="1211" t="s">
        <v>617</v>
      </c>
      <c r="D7" s="696">
        <v>333</v>
      </c>
      <c r="E7" s="696">
        <v>3</v>
      </c>
      <c r="F7" s="696">
        <v>1986</v>
      </c>
      <c r="G7" s="1212">
        <f>1-P87</f>
        <v>0.94599999999999995</v>
      </c>
      <c r="H7" s="696">
        <v>1</v>
      </c>
      <c r="I7" s="698">
        <f>S87</f>
        <v>1420</v>
      </c>
      <c r="J7" s="699">
        <f>T87</f>
        <v>1.52</v>
      </c>
      <c r="K7" s="1213" t="s">
        <v>614</v>
      </c>
      <c r="L7" s="1210" t="s">
        <v>614</v>
      </c>
      <c r="M7" s="1210" t="s">
        <v>614</v>
      </c>
      <c r="N7" s="696"/>
      <c r="O7" s="1210" t="s">
        <v>614</v>
      </c>
      <c r="P7" s="1210" t="s">
        <v>614</v>
      </c>
      <c r="Q7" s="1210" t="s">
        <v>614</v>
      </c>
      <c r="R7" s="1210" t="s">
        <v>614</v>
      </c>
      <c r="S7" s="1210" t="s">
        <v>614</v>
      </c>
      <c r="T7" s="1210" t="s">
        <v>614</v>
      </c>
      <c r="U7" s="696"/>
      <c r="V7" s="1210" t="s">
        <v>614</v>
      </c>
      <c r="W7" s="696"/>
      <c r="X7" s="1210"/>
      <c r="Y7" s="700"/>
    </row>
    <row r="8" spans="1:25">
      <c r="B8" s="480">
        <v>5</v>
      </c>
      <c r="C8" s="481" t="s">
        <v>618</v>
      </c>
      <c r="D8" s="498">
        <v>390</v>
      </c>
      <c r="E8" s="498">
        <v>3</v>
      </c>
      <c r="F8" s="498">
        <v>2001</v>
      </c>
      <c r="G8" s="504">
        <f>1-P112</f>
        <v>0.94869999999999999</v>
      </c>
      <c r="H8" s="498">
        <v>2.5</v>
      </c>
      <c r="I8" s="499">
        <f>S112</f>
        <v>1697</v>
      </c>
      <c r="J8" s="500">
        <f>T112</f>
        <v>1.48</v>
      </c>
      <c r="K8" s="1208" t="s">
        <v>619</v>
      </c>
      <c r="L8" s="1209" t="s">
        <v>614</v>
      </c>
      <c r="M8" s="1209" t="s">
        <v>614</v>
      </c>
      <c r="N8" s="1209"/>
      <c r="O8" s="1209" t="s">
        <v>614</v>
      </c>
      <c r="P8" s="1209" t="s">
        <v>614</v>
      </c>
      <c r="Q8" s="498"/>
      <c r="R8" s="1209" t="s">
        <v>614</v>
      </c>
      <c r="S8" s="1209" t="s">
        <v>614</v>
      </c>
      <c r="T8" s="1209" t="s">
        <v>614</v>
      </c>
      <c r="U8" s="1209" t="s">
        <v>620</v>
      </c>
      <c r="V8" s="1209" t="s">
        <v>614</v>
      </c>
      <c r="W8" s="498"/>
      <c r="X8" s="498"/>
      <c r="Y8" s="493"/>
    </row>
    <row r="9" spans="1:25">
      <c r="B9" s="475">
        <v>6</v>
      </c>
      <c r="C9" s="1214" t="s">
        <v>587</v>
      </c>
      <c r="D9" s="701">
        <v>364</v>
      </c>
      <c r="E9" s="701">
        <v>2</v>
      </c>
      <c r="F9" s="1215" t="s">
        <v>589</v>
      </c>
      <c r="G9" s="1216">
        <f>1-P131</f>
        <v>0.91210000000000002</v>
      </c>
      <c r="H9" s="1215">
        <v>2</v>
      </c>
      <c r="I9" s="702">
        <f>S131</f>
        <v>1470</v>
      </c>
      <c r="J9" s="703">
        <f>T131</f>
        <v>1.43</v>
      </c>
      <c r="K9" s="1217" t="s">
        <v>614</v>
      </c>
      <c r="L9" s="1215" t="s">
        <v>614</v>
      </c>
      <c r="M9" s="1215" t="s">
        <v>614</v>
      </c>
      <c r="N9" s="1215" t="s">
        <v>614</v>
      </c>
      <c r="O9" s="1215" t="s">
        <v>614</v>
      </c>
      <c r="P9" s="1215" t="s">
        <v>614</v>
      </c>
      <c r="Q9" s="1215" t="s">
        <v>614</v>
      </c>
      <c r="R9" s="701"/>
      <c r="S9" s="701"/>
      <c r="T9" s="1215" t="s">
        <v>614</v>
      </c>
      <c r="U9" s="1215" t="s">
        <v>620</v>
      </c>
      <c r="V9" s="701"/>
      <c r="W9" s="701"/>
      <c r="X9" s="701"/>
      <c r="Y9" s="704"/>
    </row>
    <row r="10" spans="1:25">
      <c r="B10" s="480">
        <v>7</v>
      </c>
      <c r="C10" s="1214" t="s">
        <v>621</v>
      </c>
      <c r="D10" s="701">
        <v>254</v>
      </c>
      <c r="E10" s="701">
        <v>2</v>
      </c>
      <c r="F10" s="701">
        <v>2001</v>
      </c>
      <c r="G10" s="705">
        <f>1-P152</f>
        <v>0.90159999999999996</v>
      </c>
      <c r="H10" s="701">
        <v>2</v>
      </c>
      <c r="I10" s="702">
        <f>S151</f>
        <v>2175</v>
      </c>
      <c r="J10" s="703">
        <f>T151</f>
        <v>1.33</v>
      </c>
      <c r="K10" s="1217"/>
      <c r="L10" s="1215" t="s">
        <v>614</v>
      </c>
      <c r="M10" s="1215" t="s">
        <v>614</v>
      </c>
      <c r="N10" s="701"/>
      <c r="O10" s="1215" t="s">
        <v>614</v>
      </c>
      <c r="P10" s="1215" t="s">
        <v>614</v>
      </c>
      <c r="Q10" s="1215" t="s">
        <v>614</v>
      </c>
      <c r="R10" s="1215" t="s">
        <v>614</v>
      </c>
      <c r="S10" s="1215" t="s">
        <v>614</v>
      </c>
      <c r="T10" s="701"/>
      <c r="U10" s="1215" t="s">
        <v>614</v>
      </c>
      <c r="V10" s="1215" t="s">
        <v>614</v>
      </c>
      <c r="W10" s="1215" t="s">
        <v>614</v>
      </c>
      <c r="X10" s="701"/>
      <c r="Y10" s="704"/>
    </row>
    <row r="11" spans="1:25">
      <c r="B11" s="475">
        <v>8</v>
      </c>
      <c r="C11" s="481" t="s">
        <v>622</v>
      </c>
      <c r="D11" s="498">
        <v>298</v>
      </c>
      <c r="E11" s="498">
        <v>2</v>
      </c>
      <c r="F11" s="498">
        <v>2006</v>
      </c>
      <c r="G11" s="504">
        <f>1-P180</f>
        <v>0.94299999999999995</v>
      </c>
      <c r="H11" s="498">
        <v>4</v>
      </c>
      <c r="I11" s="499">
        <f>S180</f>
        <v>1780</v>
      </c>
      <c r="J11" s="500">
        <f>T180</f>
        <v>1.66</v>
      </c>
      <c r="K11" s="500"/>
      <c r="L11" s="1209" t="s">
        <v>614</v>
      </c>
      <c r="M11" s="1209" t="s">
        <v>614</v>
      </c>
      <c r="N11" s="498"/>
      <c r="O11" s="1209" t="s">
        <v>614</v>
      </c>
      <c r="P11" s="1209" t="s">
        <v>614</v>
      </c>
      <c r="Q11" s="1209" t="s">
        <v>614</v>
      </c>
      <c r="R11" s="1209" t="s">
        <v>614</v>
      </c>
      <c r="S11" s="1209" t="s">
        <v>614</v>
      </c>
      <c r="T11" s="498"/>
      <c r="U11" s="1209" t="s">
        <v>614</v>
      </c>
      <c r="V11" s="1209" t="s">
        <v>614</v>
      </c>
      <c r="W11" s="1209" t="s">
        <v>614</v>
      </c>
      <c r="X11" s="498"/>
      <c r="Y11" s="493"/>
    </row>
    <row r="12" spans="1:25">
      <c r="B12" s="480">
        <v>9</v>
      </c>
      <c r="C12" s="1207" t="s">
        <v>623</v>
      </c>
      <c r="D12" s="498">
        <v>360</v>
      </c>
      <c r="E12" s="498">
        <v>2</v>
      </c>
      <c r="F12" s="498">
        <v>2000</v>
      </c>
      <c r="G12" s="646">
        <f>1-P204</f>
        <v>0.91669999999999996</v>
      </c>
      <c r="H12" s="498">
        <v>1.5</v>
      </c>
      <c r="I12" s="499">
        <f>S204</f>
        <v>1625</v>
      </c>
      <c r="J12" s="500">
        <f>T204</f>
        <v>1.52</v>
      </c>
      <c r="K12" s="1208" t="s">
        <v>614</v>
      </c>
      <c r="L12" s="1209" t="s">
        <v>614</v>
      </c>
      <c r="M12" s="1209" t="s">
        <v>614</v>
      </c>
      <c r="N12" s="498"/>
      <c r="O12" s="1209" t="s">
        <v>614</v>
      </c>
      <c r="P12" s="1209" t="s">
        <v>614</v>
      </c>
      <c r="Q12" s="1209" t="s">
        <v>614</v>
      </c>
      <c r="R12" s="1209" t="s">
        <v>614</v>
      </c>
      <c r="S12" s="1209" t="s">
        <v>614</v>
      </c>
      <c r="T12" s="498"/>
      <c r="U12" s="1209" t="s">
        <v>620</v>
      </c>
      <c r="V12" s="1209" t="s">
        <v>614</v>
      </c>
      <c r="W12" s="1209" t="s">
        <v>614</v>
      </c>
      <c r="X12" s="1209" t="s">
        <v>614</v>
      </c>
      <c r="Y12" s="493"/>
    </row>
    <row r="13" spans="1:25">
      <c r="B13" s="475">
        <v>10</v>
      </c>
      <c r="C13" s="1207" t="s">
        <v>565</v>
      </c>
      <c r="D13" s="498">
        <v>280</v>
      </c>
      <c r="E13" s="498">
        <v>3</v>
      </c>
      <c r="F13" s="498">
        <v>2015</v>
      </c>
      <c r="G13" s="646">
        <f>1-P229</f>
        <v>0.93930000000000002</v>
      </c>
      <c r="H13" s="498">
        <v>4</v>
      </c>
      <c r="I13" s="499">
        <f>S229</f>
        <v>1493</v>
      </c>
      <c r="J13" s="500">
        <f>T229</f>
        <v>1.62</v>
      </c>
      <c r="K13" s="1208" t="s">
        <v>614</v>
      </c>
      <c r="L13" s="1209" t="s">
        <v>614</v>
      </c>
      <c r="M13" s="1209" t="s">
        <v>614</v>
      </c>
      <c r="N13" s="1209"/>
      <c r="O13" s="1209" t="s">
        <v>614</v>
      </c>
      <c r="P13" s="1209" t="s">
        <v>614</v>
      </c>
      <c r="Q13" s="1209" t="s">
        <v>614</v>
      </c>
      <c r="R13" s="1209" t="s">
        <v>614</v>
      </c>
      <c r="S13" s="1209" t="s">
        <v>614</v>
      </c>
      <c r="T13" s="498"/>
      <c r="U13" s="1209" t="s">
        <v>614</v>
      </c>
      <c r="V13" s="1209" t="s">
        <v>614</v>
      </c>
      <c r="W13" s="498"/>
      <c r="X13" s="498"/>
      <c r="Y13" s="1218" t="s">
        <v>614</v>
      </c>
    </row>
    <row r="14" spans="1:25">
      <c r="B14" s="480">
        <v>11</v>
      </c>
      <c r="C14" s="481" t="s">
        <v>575</v>
      </c>
      <c r="D14" s="498">
        <v>228</v>
      </c>
      <c r="E14" s="498">
        <v>3</v>
      </c>
      <c r="F14" s="498">
        <v>2014</v>
      </c>
      <c r="G14" s="504">
        <f>1-P252</f>
        <v>0.95609999999999995</v>
      </c>
      <c r="H14" s="498">
        <v>4</v>
      </c>
      <c r="I14" s="499">
        <f>Q252</f>
        <v>1622</v>
      </c>
      <c r="J14" s="500">
        <f>R252</f>
        <v>1.65</v>
      </c>
      <c r="K14" s="500"/>
      <c r="L14" s="1209" t="s">
        <v>614</v>
      </c>
      <c r="M14" s="1209" t="s">
        <v>614</v>
      </c>
      <c r="N14" s="1209" t="s">
        <v>614</v>
      </c>
      <c r="O14" s="1209" t="s">
        <v>614</v>
      </c>
      <c r="P14" s="1209" t="s">
        <v>614</v>
      </c>
      <c r="Q14" s="1209" t="s">
        <v>614</v>
      </c>
      <c r="R14" s="1209" t="s">
        <v>614</v>
      </c>
      <c r="S14" s="1209" t="s">
        <v>614</v>
      </c>
      <c r="T14" s="498"/>
      <c r="U14" s="1209" t="s">
        <v>614</v>
      </c>
      <c r="V14" s="1209" t="s">
        <v>614</v>
      </c>
      <c r="W14" s="498"/>
      <c r="X14" s="498"/>
      <c r="Y14" s="493"/>
    </row>
    <row r="15" spans="1:25">
      <c r="B15" s="475">
        <v>12</v>
      </c>
      <c r="C15" s="1219" t="s">
        <v>624</v>
      </c>
      <c r="D15" s="484">
        <v>350</v>
      </c>
      <c r="E15" s="484">
        <v>2</v>
      </c>
      <c r="F15" s="484">
        <v>1999</v>
      </c>
      <c r="G15" s="690">
        <f>1-P275</f>
        <v>0.92</v>
      </c>
      <c r="H15" s="484">
        <v>4</v>
      </c>
      <c r="I15" s="482">
        <f>S275</f>
        <v>1494</v>
      </c>
      <c r="J15" s="483">
        <f>T275</f>
        <v>1.54</v>
      </c>
      <c r="K15" s="483"/>
      <c r="L15" s="1220" t="s">
        <v>614</v>
      </c>
      <c r="M15" s="484"/>
      <c r="N15" s="1220" t="s">
        <v>614</v>
      </c>
      <c r="O15" s="1220" t="s">
        <v>614</v>
      </c>
      <c r="P15" s="1220" t="s">
        <v>614</v>
      </c>
      <c r="Q15" s="1220" t="s">
        <v>614</v>
      </c>
      <c r="R15" s="484"/>
      <c r="S15" s="484"/>
      <c r="T15" s="484"/>
      <c r="U15" s="484"/>
      <c r="V15" s="484"/>
      <c r="W15" s="484"/>
      <c r="X15" s="484"/>
      <c r="Y15" s="494"/>
    </row>
    <row r="16" spans="1:25">
      <c r="C16" s="497"/>
      <c r="D16" s="498"/>
      <c r="E16" s="498"/>
      <c r="F16" s="498"/>
      <c r="G16" s="498"/>
      <c r="H16" s="498"/>
      <c r="I16" s="499"/>
      <c r="J16" s="500"/>
      <c r="K16" s="500"/>
      <c r="L16" s="498"/>
      <c r="M16" s="498"/>
      <c r="N16" s="498"/>
      <c r="O16" s="498"/>
      <c r="P16" s="498"/>
      <c r="Q16" s="498"/>
      <c r="R16" s="498"/>
      <c r="S16" s="498"/>
      <c r="T16" s="498"/>
      <c r="U16" s="498"/>
      <c r="V16" s="498"/>
      <c r="W16" s="498"/>
      <c r="X16" s="498"/>
      <c r="Y16" s="498"/>
    </row>
    <row r="17" spans="2:25">
      <c r="C17" s="497"/>
      <c r="D17" s="498"/>
      <c r="E17" s="498"/>
      <c r="F17" s="498"/>
      <c r="G17" s="498"/>
      <c r="H17" s="498"/>
      <c r="I17" s="499"/>
      <c r="J17" s="500"/>
      <c r="K17" s="500"/>
      <c r="L17" s="498"/>
      <c r="M17" s="498"/>
      <c r="N17" s="498"/>
      <c r="O17" s="498"/>
      <c r="P17" s="498"/>
      <c r="Q17" s="498"/>
      <c r="R17" s="498"/>
      <c r="S17" s="498"/>
      <c r="T17" s="498"/>
      <c r="U17" s="498"/>
      <c r="V17" s="498"/>
      <c r="W17" s="498"/>
      <c r="X17" s="498"/>
      <c r="Y17" s="498"/>
    </row>
    <row r="18" spans="2:25">
      <c r="C18" s="497"/>
      <c r="D18" s="498"/>
      <c r="E18" s="498"/>
      <c r="F18" s="498"/>
      <c r="G18" s="498"/>
      <c r="H18" s="498"/>
      <c r="I18" s="499"/>
      <c r="J18" s="500"/>
      <c r="K18" s="500"/>
      <c r="L18" s="498"/>
      <c r="M18" s="498"/>
      <c r="N18" s="498"/>
      <c r="O18" s="498"/>
      <c r="P18" s="498"/>
      <c r="Q18" s="498"/>
      <c r="R18" s="498"/>
      <c r="S18" s="498"/>
      <c r="T18" s="498"/>
      <c r="U18" s="498"/>
      <c r="V18" s="498"/>
      <c r="W18" s="498"/>
      <c r="X18" s="498"/>
      <c r="Y18" s="498"/>
    </row>
    <row r="19" spans="2:25">
      <c r="C19" s="497"/>
      <c r="D19" s="498"/>
      <c r="E19" s="498"/>
      <c r="F19" s="498"/>
      <c r="G19" s="498"/>
      <c r="H19" s="498"/>
      <c r="I19" s="499"/>
      <c r="J19" s="500"/>
      <c r="K19" s="500"/>
      <c r="L19" s="498"/>
      <c r="M19" s="498"/>
      <c r="N19" s="498"/>
      <c r="O19" s="498"/>
      <c r="P19" s="498"/>
      <c r="Q19" s="498"/>
      <c r="R19" s="498"/>
      <c r="S19" s="498"/>
      <c r="T19" s="498"/>
      <c r="U19" s="498"/>
      <c r="V19" s="498"/>
      <c r="W19" s="498"/>
      <c r="X19" s="498"/>
      <c r="Y19" s="498"/>
    </row>
    <row r="21" spans="2:25">
      <c r="C21" s="497"/>
      <c r="D21" s="498"/>
      <c r="E21" s="498"/>
      <c r="F21" s="498"/>
      <c r="G21" s="498"/>
      <c r="H21" s="498"/>
      <c r="I21" s="499"/>
      <c r="J21" s="500"/>
      <c r="K21" s="498"/>
      <c r="L21" s="498"/>
      <c r="M21" s="498"/>
      <c r="N21" s="498"/>
      <c r="O21" s="498"/>
      <c r="P21" s="498"/>
      <c r="Q21" s="498"/>
      <c r="R21" s="498"/>
      <c r="S21" s="498"/>
      <c r="T21" s="498"/>
      <c r="U21" s="498"/>
      <c r="V21" s="498"/>
      <c r="W21" s="498"/>
      <c r="X21" s="498"/>
    </row>
    <row r="22" spans="2:25" ht="18.75">
      <c r="C22" s="525" t="s">
        <v>625</v>
      </c>
      <c r="D22" s="498"/>
      <c r="E22" s="498"/>
      <c r="F22" s="498"/>
      <c r="G22" s="498"/>
      <c r="H22" s="498"/>
      <c r="I22" s="499"/>
      <c r="J22" s="505" t="str">
        <f>C5</f>
        <v>Bradford Pointe</v>
      </c>
      <c r="K22" s="506"/>
      <c r="L22" s="506"/>
      <c r="M22" s="506"/>
      <c r="N22" s="506"/>
      <c r="O22" s="506"/>
      <c r="P22" s="506"/>
      <c r="Q22" s="506"/>
      <c r="R22" s="507"/>
      <c r="S22" s="507"/>
      <c r="T22" s="507"/>
      <c r="U22" s="508"/>
    </row>
    <row r="23" spans="2:25" ht="18.75">
      <c r="J23" s="509" t="s">
        <v>626</v>
      </c>
      <c r="K23" s="478"/>
      <c r="L23" s="478"/>
      <c r="M23" s="478"/>
      <c r="N23" s="478"/>
      <c r="O23" s="478"/>
      <c r="P23" s="478"/>
      <c r="Q23" s="478"/>
      <c r="R23" s="501"/>
      <c r="S23" s="501"/>
      <c r="T23" s="501"/>
      <c r="U23" s="510"/>
    </row>
    <row r="24" spans="2:25" ht="15.75">
      <c r="C24" s="485"/>
      <c r="J24" s="522" t="s">
        <v>627</v>
      </c>
      <c r="K24" s="523" t="s">
        <v>628</v>
      </c>
      <c r="L24" s="523" t="s">
        <v>539</v>
      </c>
      <c r="M24" s="523" t="s">
        <v>629</v>
      </c>
      <c r="N24" s="523" t="s">
        <v>630</v>
      </c>
      <c r="O24" s="523" t="s">
        <v>631</v>
      </c>
      <c r="P24" s="523" t="s">
        <v>632</v>
      </c>
      <c r="Q24" s="523" t="s">
        <v>633</v>
      </c>
      <c r="R24" s="523" t="s">
        <v>634</v>
      </c>
      <c r="S24" s="523" t="s">
        <v>635</v>
      </c>
      <c r="T24" s="523" t="s">
        <v>636</v>
      </c>
      <c r="U24" s="524" t="s">
        <v>637</v>
      </c>
    </row>
    <row r="25" spans="2:25">
      <c r="B25" s="486"/>
      <c r="J25" s="512" t="s">
        <v>638</v>
      </c>
      <c r="K25" s="513">
        <v>1</v>
      </c>
      <c r="L25" s="513">
        <v>772</v>
      </c>
      <c r="M25" s="513">
        <v>75</v>
      </c>
      <c r="N25" s="513">
        <v>0.245</v>
      </c>
      <c r="O25" s="513">
        <v>4</v>
      </c>
      <c r="P25" s="1221">
        <v>5.33E-2</v>
      </c>
      <c r="Q25" s="1222">
        <v>1505</v>
      </c>
      <c r="R25" s="1223">
        <v>1.95</v>
      </c>
      <c r="S25" s="1222">
        <v>1499</v>
      </c>
      <c r="T25" s="1223">
        <f>S25/L25</f>
        <v>1.9417098445595855</v>
      </c>
      <c r="U25" s="1224">
        <v>4.0000000000000001E-3</v>
      </c>
    </row>
    <row r="26" spans="2:25">
      <c r="J26" s="514" t="s">
        <v>638</v>
      </c>
      <c r="K26" s="515">
        <v>1</v>
      </c>
      <c r="L26" s="515">
        <v>832</v>
      </c>
      <c r="M26" s="515">
        <v>32</v>
      </c>
      <c r="N26" s="515">
        <v>0.105</v>
      </c>
      <c r="O26" s="515">
        <v>3</v>
      </c>
      <c r="P26" s="1225">
        <v>9.3799999999999994E-2</v>
      </c>
      <c r="Q26" s="1226">
        <v>1648</v>
      </c>
      <c r="R26" s="1227">
        <v>1.98</v>
      </c>
      <c r="S26" s="1226">
        <v>1641</v>
      </c>
      <c r="T26" s="1227">
        <f t="shared" ref="T26:T32" si="0">S26/L26</f>
        <v>1.9723557692307692</v>
      </c>
      <c r="U26" s="1228">
        <v>4.0000000000000001E-3</v>
      </c>
    </row>
    <row r="27" spans="2:25">
      <c r="J27" s="514" t="s">
        <v>639</v>
      </c>
      <c r="K27" s="515">
        <v>2</v>
      </c>
      <c r="L27" s="515">
        <v>1060</v>
      </c>
      <c r="M27" s="515">
        <v>24</v>
      </c>
      <c r="N27" s="515">
        <v>7.8E-2</v>
      </c>
      <c r="O27" s="515">
        <v>1</v>
      </c>
      <c r="P27" s="1225">
        <v>4.1700000000000001E-2</v>
      </c>
      <c r="Q27" s="1226">
        <v>1844</v>
      </c>
      <c r="R27" s="1227">
        <v>1.74</v>
      </c>
      <c r="S27" s="1226">
        <v>1836</v>
      </c>
      <c r="T27" s="1227">
        <f t="shared" si="0"/>
        <v>1.7320754716981133</v>
      </c>
      <c r="U27" s="1228">
        <v>4.0000000000000001E-3</v>
      </c>
    </row>
    <row r="28" spans="2:25">
      <c r="J28" s="514" t="s">
        <v>639</v>
      </c>
      <c r="K28" s="515">
        <v>2</v>
      </c>
      <c r="L28" s="515">
        <v>1205</v>
      </c>
      <c r="M28" s="515">
        <v>77</v>
      </c>
      <c r="N28" s="515">
        <v>0.252</v>
      </c>
      <c r="O28" s="515">
        <v>4</v>
      </c>
      <c r="P28" s="1225">
        <v>5.1900000000000002E-2</v>
      </c>
      <c r="Q28" s="1226">
        <v>1839</v>
      </c>
      <c r="R28" s="1227">
        <v>1.53</v>
      </c>
      <c r="S28" s="1226">
        <v>1831</v>
      </c>
      <c r="T28" s="1227">
        <f t="shared" si="0"/>
        <v>1.5195020746887966</v>
      </c>
      <c r="U28" s="1228">
        <v>4.0000000000000001E-3</v>
      </c>
    </row>
    <row r="29" spans="2:25">
      <c r="J29" s="514" t="s">
        <v>639</v>
      </c>
      <c r="K29" s="515">
        <v>2</v>
      </c>
      <c r="L29" s="515">
        <v>1270</v>
      </c>
      <c r="M29" s="515">
        <v>32</v>
      </c>
      <c r="N29" s="515">
        <v>0.105</v>
      </c>
      <c r="O29" s="515">
        <v>1</v>
      </c>
      <c r="P29" s="1225">
        <v>3.1300000000000001E-2</v>
      </c>
      <c r="Q29" s="1226">
        <v>1878</v>
      </c>
      <c r="R29" s="1227">
        <v>1.48</v>
      </c>
      <c r="S29" s="1226">
        <v>1870</v>
      </c>
      <c r="T29" s="1227">
        <f t="shared" si="0"/>
        <v>1.4724409448818898</v>
      </c>
      <c r="U29" s="1228">
        <v>4.0000000000000001E-3</v>
      </c>
    </row>
    <row r="30" spans="2:25">
      <c r="J30" s="514" t="s">
        <v>639</v>
      </c>
      <c r="K30" s="515">
        <v>2</v>
      </c>
      <c r="L30" s="515">
        <v>1397</v>
      </c>
      <c r="M30" s="515">
        <v>24</v>
      </c>
      <c r="N30" s="515">
        <v>7.8E-2</v>
      </c>
      <c r="O30" s="515">
        <v>1</v>
      </c>
      <c r="P30" s="1225">
        <v>4.1700000000000001E-2</v>
      </c>
      <c r="Q30" s="1226">
        <v>1947</v>
      </c>
      <c r="R30" s="1227">
        <v>1.39</v>
      </c>
      <c r="S30" s="1226">
        <v>1939</v>
      </c>
      <c r="T30" s="1227">
        <f t="shared" si="0"/>
        <v>1.3879742304939156</v>
      </c>
      <c r="U30" s="1228">
        <v>4.0000000000000001E-3</v>
      </c>
    </row>
    <row r="31" spans="2:25">
      <c r="J31" s="514" t="s">
        <v>640</v>
      </c>
      <c r="K31" s="515">
        <v>2</v>
      </c>
      <c r="L31" s="515">
        <v>1609</v>
      </c>
      <c r="M31" s="515">
        <v>18</v>
      </c>
      <c r="N31" s="515">
        <v>5.8999999999999997E-2</v>
      </c>
      <c r="O31" s="515">
        <v>2</v>
      </c>
      <c r="P31" s="1225">
        <v>0.1111</v>
      </c>
      <c r="Q31" s="1226">
        <v>2495</v>
      </c>
      <c r="R31" s="1227">
        <v>1.55</v>
      </c>
      <c r="S31" s="1226">
        <v>2485</v>
      </c>
      <c r="T31" s="1227">
        <f t="shared" si="0"/>
        <v>1.5444375388440026</v>
      </c>
      <c r="U31" s="1228">
        <v>4.0000000000000001E-3</v>
      </c>
    </row>
    <row r="32" spans="2:25">
      <c r="J32" s="516" t="s">
        <v>640</v>
      </c>
      <c r="K32" s="517">
        <v>2</v>
      </c>
      <c r="L32" s="517">
        <v>1743</v>
      </c>
      <c r="M32" s="517">
        <v>24</v>
      </c>
      <c r="N32" s="517">
        <v>7.8E-2</v>
      </c>
      <c r="O32" s="517">
        <v>0</v>
      </c>
      <c r="P32" s="1229">
        <v>0</v>
      </c>
      <c r="Q32" s="1230">
        <v>2790</v>
      </c>
      <c r="R32" s="1231">
        <v>1.6</v>
      </c>
      <c r="S32" s="1230">
        <v>2778</v>
      </c>
      <c r="T32" s="1231">
        <f t="shared" si="0"/>
        <v>1.5938037865748709</v>
      </c>
      <c r="U32" s="1232">
        <v>4.0000000000000001E-3</v>
      </c>
    </row>
    <row r="33" spans="2:21">
      <c r="J33" s="514"/>
      <c r="K33" s="515"/>
      <c r="L33" s="515"/>
      <c r="M33" s="515"/>
      <c r="N33" s="515"/>
      <c r="O33" s="515"/>
      <c r="P33" s="515"/>
      <c r="Q33" s="515"/>
      <c r="R33" s="1227"/>
      <c r="S33" s="515"/>
      <c r="T33" s="1227"/>
      <c r="U33" s="1228"/>
    </row>
    <row r="34" spans="2:21">
      <c r="J34" s="512" t="s">
        <v>641</v>
      </c>
      <c r="K34" s="513"/>
      <c r="L34" s="513">
        <v>790</v>
      </c>
      <c r="M34" s="513">
        <v>107</v>
      </c>
      <c r="N34" s="513">
        <v>0.35</v>
      </c>
      <c r="O34" s="513">
        <v>7</v>
      </c>
      <c r="P34" s="1221">
        <v>6.54E-2</v>
      </c>
      <c r="Q34" s="1222">
        <v>1548</v>
      </c>
      <c r="R34" s="1223">
        <v>1.96</v>
      </c>
      <c r="S34" s="1222">
        <v>1541</v>
      </c>
      <c r="T34" s="1223">
        <v>1.95</v>
      </c>
      <c r="U34" s="1233">
        <v>4.0000000000000001E-3</v>
      </c>
    </row>
    <row r="35" spans="2:21">
      <c r="J35" s="514" t="s">
        <v>642</v>
      </c>
      <c r="K35" s="515"/>
      <c r="L35" s="515">
        <v>1225</v>
      </c>
      <c r="M35" s="515">
        <v>157</v>
      </c>
      <c r="N35" s="515">
        <v>0.51300000000000001</v>
      </c>
      <c r="O35" s="515">
        <v>7</v>
      </c>
      <c r="P35" s="1225">
        <v>4.4600000000000001E-2</v>
      </c>
      <c r="Q35" s="1226">
        <v>1864</v>
      </c>
      <c r="R35" s="1227">
        <v>1.52</v>
      </c>
      <c r="S35" s="1226">
        <v>1856</v>
      </c>
      <c r="T35" s="1227">
        <v>1.51</v>
      </c>
      <c r="U35" s="1234">
        <v>4.0000000000000001E-3</v>
      </c>
    </row>
    <row r="36" spans="2:21">
      <c r="J36" s="514" t="s">
        <v>643</v>
      </c>
      <c r="K36" s="515"/>
      <c r="L36" s="515">
        <v>1686</v>
      </c>
      <c r="M36" s="515">
        <v>42</v>
      </c>
      <c r="N36" s="515">
        <v>0.13700000000000001</v>
      </c>
      <c r="O36" s="515">
        <v>2</v>
      </c>
      <c r="P36" s="1225">
        <v>4.7600000000000003E-2</v>
      </c>
      <c r="Q36" s="1226">
        <v>2664</v>
      </c>
      <c r="R36" s="1227">
        <v>1.58</v>
      </c>
      <c r="S36" s="1226">
        <v>2652</v>
      </c>
      <c r="T36" s="1227">
        <v>1.57</v>
      </c>
      <c r="U36" s="1234">
        <v>4.0000000000000001E-3</v>
      </c>
    </row>
    <row r="37" spans="2:21">
      <c r="J37" s="518" t="s">
        <v>644</v>
      </c>
      <c r="K37" s="519"/>
      <c r="L37" s="519">
        <v>1136</v>
      </c>
      <c r="M37" s="519">
        <v>306</v>
      </c>
      <c r="N37" s="519">
        <v>1</v>
      </c>
      <c r="O37" s="519">
        <v>16</v>
      </c>
      <c r="P37" s="520">
        <v>5.2299999999999999E-2</v>
      </c>
      <c r="Q37" s="530">
        <v>1863</v>
      </c>
      <c r="R37" s="691">
        <v>1.64</v>
      </c>
      <c r="S37" s="530">
        <v>1855</v>
      </c>
      <c r="T37" s="691">
        <v>1.63</v>
      </c>
      <c r="U37" s="689">
        <v>4.0000000000000001E-3</v>
      </c>
    </row>
    <row r="38" spans="2:21">
      <c r="T38" s="1235">
        <f>SUMPRODUCT(M25:M32,T25:T32)/SUM(M25:M32)</f>
        <v>1.6790710861902254</v>
      </c>
    </row>
    <row r="41" spans="2:21" ht="15.75">
      <c r="C41" s="485"/>
      <c r="U41" s="1236"/>
    </row>
    <row r="42" spans="2:21" ht="15.75">
      <c r="C42" s="485" t="s">
        <v>645</v>
      </c>
    </row>
    <row r="43" spans="2:21" ht="18.75">
      <c r="C43" s="485"/>
      <c r="J43" s="478" t="str">
        <f>C6</f>
        <v>Pointe Royal</v>
      </c>
      <c r="K43" s="478"/>
      <c r="L43" s="478"/>
      <c r="M43" s="478"/>
      <c r="N43" s="478"/>
      <c r="O43" s="478"/>
      <c r="P43" s="478"/>
      <c r="Q43" s="478"/>
      <c r="R43" s="502"/>
      <c r="S43" s="502"/>
      <c r="T43" s="502"/>
      <c r="U43" s="502"/>
    </row>
    <row r="44" spans="2:21" ht="18.75">
      <c r="B44" s="486"/>
      <c r="J44" s="487" t="s">
        <v>646</v>
      </c>
      <c r="K44" s="478"/>
      <c r="L44" s="478"/>
      <c r="M44" s="478"/>
      <c r="N44" s="478"/>
      <c r="O44" s="478"/>
      <c r="P44" s="478"/>
      <c r="Q44" s="478"/>
      <c r="R44" s="501"/>
      <c r="S44" s="501"/>
      <c r="T44" s="501"/>
      <c r="U44" s="501"/>
    </row>
    <row r="45" spans="2:21">
      <c r="J45" s="503" t="s">
        <v>627</v>
      </c>
      <c r="K45" s="503" t="s">
        <v>628</v>
      </c>
      <c r="L45" s="503" t="s">
        <v>539</v>
      </c>
      <c r="M45" s="503" t="s">
        <v>629</v>
      </c>
      <c r="N45" s="503" t="s">
        <v>630</v>
      </c>
      <c r="O45" s="503" t="s">
        <v>631</v>
      </c>
      <c r="P45" s="503" t="s">
        <v>632</v>
      </c>
      <c r="Q45" s="503" t="s">
        <v>633</v>
      </c>
      <c r="R45" s="503" t="s">
        <v>634</v>
      </c>
      <c r="S45" s="503" t="s">
        <v>635</v>
      </c>
      <c r="T45" s="503" t="s">
        <v>636</v>
      </c>
      <c r="U45" s="503" t="s">
        <v>637</v>
      </c>
    </row>
    <row r="46" spans="2:21">
      <c r="J46" s="512">
        <v>1</v>
      </c>
      <c r="K46" s="513">
        <v>1</v>
      </c>
      <c r="L46" s="513">
        <v>588</v>
      </c>
      <c r="M46" s="513">
        <v>33</v>
      </c>
      <c r="N46" s="1237">
        <v>7.5999999999999998E-2</v>
      </c>
      <c r="O46" s="513">
        <v>1</v>
      </c>
      <c r="P46" s="1221">
        <v>0.03</v>
      </c>
      <c r="Q46" s="1222">
        <v>1198</v>
      </c>
      <c r="R46" s="526">
        <v>2.04</v>
      </c>
      <c r="S46" s="1222">
        <v>1198</v>
      </c>
      <c r="T46" s="526">
        <f t="shared" ref="T46:T52" si="1">S46/L46</f>
        <v>2.0374149659863945</v>
      </c>
      <c r="U46" s="1224">
        <v>0</v>
      </c>
    </row>
    <row r="47" spans="2:21">
      <c r="J47" s="514">
        <v>1</v>
      </c>
      <c r="K47" s="515">
        <v>1</v>
      </c>
      <c r="L47" s="515">
        <v>669</v>
      </c>
      <c r="M47" s="515">
        <v>33</v>
      </c>
      <c r="N47" s="1238">
        <v>7.5999999999999998E-2</v>
      </c>
      <c r="O47" s="515">
        <v>1</v>
      </c>
      <c r="P47" s="1225">
        <v>0.03</v>
      </c>
      <c r="Q47" s="1226">
        <v>1263</v>
      </c>
      <c r="R47" s="527">
        <v>1.89</v>
      </c>
      <c r="S47" s="1226">
        <v>1263</v>
      </c>
      <c r="T47" s="527">
        <f t="shared" si="1"/>
        <v>1.8878923766816142</v>
      </c>
      <c r="U47" s="1228">
        <v>0</v>
      </c>
    </row>
    <row r="48" spans="2:21">
      <c r="J48" s="514">
        <v>1</v>
      </c>
      <c r="K48" s="515">
        <v>1</v>
      </c>
      <c r="L48" s="515">
        <v>715</v>
      </c>
      <c r="M48" s="515">
        <v>107</v>
      </c>
      <c r="N48" s="1238">
        <v>0.245</v>
      </c>
      <c r="O48" s="515">
        <v>7</v>
      </c>
      <c r="P48" s="1225">
        <v>6.5000000000000002E-2</v>
      </c>
      <c r="Q48" s="1226">
        <v>1264</v>
      </c>
      <c r="R48" s="527">
        <v>1.77</v>
      </c>
      <c r="S48" s="1226">
        <v>1264</v>
      </c>
      <c r="T48" s="527">
        <f t="shared" si="1"/>
        <v>1.7678321678321678</v>
      </c>
      <c r="U48" s="1228">
        <v>0</v>
      </c>
    </row>
    <row r="49" spans="2:21">
      <c r="J49" s="514">
        <v>1</v>
      </c>
      <c r="K49" s="515">
        <v>1.5</v>
      </c>
      <c r="L49" s="515">
        <v>826</v>
      </c>
      <c r="M49" s="515">
        <v>14</v>
      </c>
      <c r="N49" s="1238">
        <v>3.2000000000000001E-2</v>
      </c>
      <c r="O49" s="515">
        <v>1</v>
      </c>
      <c r="P49" s="1225">
        <v>7.0999999999999994E-2</v>
      </c>
      <c r="Q49" s="1226">
        <v>1354</v>
      </c>
      <c r="R49" s="527">
        <v>1.64</v>
      </c>
      <c r="S49" s="1226">
        <v>1354</v>
      </c>
      <c r="T49" s="527">
        <f t="shared" si="1"/>
        <v>1.639225181598063</v>
      </c>
      <c r="U49" s="1228">
        <v>0</v>
      </c>
    </row>
    <row r="50" spans="2:21">
      <c r="J50" s="514">
        <v>2</v>
      </c>
      <c r="K50" s="515">
        <v>2</v>
      </c>
      <c r="L50" s="515">
        <v>946</v>
      </c>
      <c r="M50" s="515">
        <v>28</v>
      </c>
      <c r="N50" s="1238">
        <v>6.4000000000000001E-2</v>
      </c>
      <c r="O50" s="515">
        <v>3</v>
      </c>
      <c r="P50" s="1225">
        <v>0.107</v>
      </c>
      <c r="Q50" s="1226">
        <v>1441</v>
      </c>
      <c r="R50" s="527">
        <v>1.52</v>
      </c>
      <c r="S50" s="1226">
        <v>1441</v>
      </c>
      <c r="T50" s="527">
        <f t="shared" si="1"/>
        <v>1.5232558139534884</v>
      </c>
      <c r="U50" s="1228">
        <v>0</v>
      </c>
    </row>
    <row r="51" spans="2:21">
      <c r="J51" s="514">
        <v>2</v>
      </c>
      <c r="K51" s="515">
        <v>2</v>
      </c>
      <c r="L51" s="515">
        <v>1047</v>
      </c>
      <c r="M51" s="515">
        <v>182</v>
      </c>
      <c r="N51" s="1238">
        <v>0.41599999999999998</v>
      </c>
      <c r="O51" s="515">
        <v>10</v>
      </c>
      <c r="P51" s="1225">
        <v>5.5E-2</v>
      </c>
      <c r="Q51" s="1226">
        <v>1618</v>
      </c>
      <c r="R51" s="527">
        <v>1.55</v>
      </c>
      <c r="S51" s="1226">
        <v>1618</v>
      </c>
      <c r="T51" s="527">
        <f t="shared" si="1"/>
        <v>1.545367717287488</v>
      </c>
      <c r="U51" s="1228">
        <v>0</v>
      </c>
    </row>
    <row r="52" spans="2:21">
      <c r="J52" s="514">
        <v>2</v>
      </c>
      <c r="K52" s="515">
        <v>2</v>
      </c>
      <c r="L52" s="515">
        <v>1153</v>
      </c>
      <c r="M52" s="515">
        <v>40</v>
      </c>
      <c r="N52" s="1238">
        <v>9.1999999999999998E-2</v>
      </c>
      <c r="O52" s="515">
        <v>1</v>
      </c>
      <c r="P52" s="1225">
        <v>2.5000000000000001E-2</v>
      </c>
      <c r="Q52" s="1226">
        <v>1603</v>
      </c>
      <c r="R52" s="527">
        <v>1.39</v>
      </c>
      <c r="S52" s="1226">
        <v>1603</v>
      </c>
      <c r="T52" s="527">
        <f t="shared" si="1"/>
        <v>1.3902862098872506</v>
      </c>
      <c r="U52" s="1228">
        <v>0</v>
      </c>
    </row>
    <row r="53" spans="2:21">
      <c r="J53" s="512"/>
      <c r="K53" s="513"/>
      <c r="L53" s="513"/>
      <c r="M53" s="513"/>
      <c r="N53" s="1237"/>
      <c r="O53" s="513"/>
      <c r="P53" s="1221"/>
      <c r="Q53" s="1222"/>
      <c r="R53" s="526"/>
      <c r="S53" s="1222"/>
      <c r="T53" s="526"/>
      <c r="U53" s="1224"/>
    </row>
    <row r="54" spans="2:21">
      <c r="J54" s="514" t="s">
        <v>641</v>
      </c>
      <c r="K54" s="515"/>
      <c r="L54" s="515">
        <v>693</v>
      </c>
      <c r="M54" s="515">
        <v>187</v>
      </c>
      <c r="N54" s="1238">
        <v>0.42799999999999999</v>
      </c>
      <c r="O54" s="515">
        <v>10</v>
      </c>
      <c r="P54" s="1225">
        <v>5.3999999999999999E-2</v>
      </c>
      <c r="Q54" s="1226">
        <v>1259</v>
      </c>
      <c r="R54" s="527">
        <v>1.82</v>
      </c>
      <c r="S54" s="1226">
        <v>1259</v>
      </c>
      <c r="T54" s="527">
        <v>1.82</v>
      </c>
      <c r="U54" s="1228">
        <v>0</v>
      </c>
    </row>
    <row r="55" spans="2:21">
      <c r="J55" s="514" t="s">
        <v>642</v>
      </c>
      <c r="K55" s="515"/>
      <c r="L55" s="515">
        <v>1053</v>
      </c>
      <c r="M55" s="515">
        <v>250</v>
      </c>
      <c r="N55" s="1238">
        <v>0.57199999999999995</v>
      </c>
      <c r="O55" s="515">
        <v>14</v>
      </c>
      <c r="P55" s="1225">
        <v>5.6000000000000001E-2</v>
      </c>
      <c r="Q55" s="1226">
        <v>1596</v>
      </c>
      <c r="R55" s="527">
        <v>1.52</v>
      </c>
      <c r="S55" s="1226">
        <v>1596</v>
      </c>
      <c r="T55" s="527">
        <v>1.52</v>
      </c>
      <c r="U55" s="1228">
        <v>0</v>
      </c>
    </row>
    <row r="56" spans="2:21">
      <c r="J56" s="518" t="s">
        <v>644</v>
      </c>
      <c r="K56" s="519"/>
      <c r="L56" s="519">
        <v>899</v>
      </c>
      <c r="M56" s="519">
        <v>437</v>
      </c>
      <c r="N56" s="532">
        <v>1</v>
      </c>
      <c r="O56" s="519">
        <v>24</v>
      </c>
      <c r="P56" s="520">
        <v>5.5E-2</v>
      </c>
      <c r="Q56" s="530">
        <v>1452</v>
      </c>
      <c r="R56" s="528">
        <v>1.62</v>
      </c>
      <c r="S56" s="530">
        <v>1452</v>
      </c>
      <c r="T56" s="528">
        <v>1.62</v>
      </c>
      <c r="U56" s="521">
        <v>0</v>
      </c>
    </row>
    <row r="58" spans="2:21">
      <c r="T58" s="1235">
        <f>SUMPRODUCT(M46:M52,T46:T52)/SUM(M46:M52)</f>
        <v>1.6502560012379168</v>
      </c>
    </row>
    <row r="63" spans="2:21" ht="15.75">
      <c r="B63" s="486"/>
      <c r="C63" s="485" t="s">
        <v>647</v>
      </c>
    </row>
    <row r="64" spans="2:21" ht="18.75">
      <c r="J64" s="478" t="str">
        <f>C7</f>
        <v>Hunter's Pointe TH</v>
      </c>
      <c r="K64" s="478"/>
      <c r="L64" s="478"/>
      <c r="M64" s="478"/>
      <c r="N64" s="478"/>
      <c r="O64" s="478"/>
      <c r="P64" s="478"/>
      <c r="Q64" s="478"/>
      <c r="R64" s="478"/>
      <c r="S64" s="478"/>
      <c r="T64" s="478"/>
      <c r="U64" s="478"/>
    </row>
    <row r="65" spans="2:23" ht="18.75">
      <c r="J65" s="487" t="s">
        <v>648</v>
      </c>
      <c r="K65" s="478"/>
      <c r="L65" s="478"/>
      <c r="M65" s="478"/>
      <c r="N65" s="478"/>
      <c r="O65" s="478"/>
      <c r="P65" s="478"/>
      <c r="Q65" s="478"/>
      <c r="R65" s="478"/>
      <c r="S65" s="478"/>
      <c r="T65" s="478"/>
      <c r="U65" s="478"/>
    </row>
    <row r="66" spans="2:23">
      <c r="J66" s="503" t="s">
        <v>627</v>
      </c>
      <c r="K66" s="503" t="s">
        <v>628</v>
      </c>
      <c r="L66" s="503" t="s">
        <v>539</v>
      </c>
      <c r="M66" s="503" t="s">
        <v>629</v>
      </c>
      <c r="N66" s="503" t="s">
        <v>630</v>
      </c>
      <c r="O66" s="503" t="s">
        <v>631</v>
      </c>
      <c r="P66" s="503" t="s">
        <v>632</v>
      </c>
      <c r="Q66" s="503" t="s">
        <v>633</v>
      </c>
      <c r="R66" s="503" t="s">
        <v>634</v>
      </c>
      <c r="S66" s="503" t="s">
        <v>635</v>
      </c>
      <c r="T66" s="503" t="s">
        <v>636</v>
      </c>
      <c r="U66" s="503" t="s">
        <v>637</v>
      </c>
      <c r="W66" s="564"/>
    </row>
    <row r="67" spans="2:23">
      <c r="J67" s="544">
        <v>1</v>
      </c>
      <c r="K67" s="545">
        <v>1</v>
      </c>
      <c r="L67" s="545">
        <v>700</v>
      </c>
      <c r="M67" s="545">
        <v>41</v>
      </c>
      <c r="N67" s="546">
        <v>0.123</v>
      </c>
      <c r="O67" s="545">
        <v>2</v>
      </c>
      <c r="P67" s="546">
        <v>4.9000000000000002E-2</v>
      </c>
      <c r="Q67" s="566">
        <v>1123</v>
      </c>
      <c r="R67" s="526">
        <v>1.6</v>
      </c>
      <c r="S67" s="513" t="s">
        <v>649</v>
      </c>
      <c r="T67" s="692">
        <f t="shared" ref="T67:T82" si="2">S67/L67</f>
        <v>1.5928571428571427</v>
      </c>
      <c r="U67" s="561">
        <v>7.0000000000000001E-3</v>
      </c>
      <c r="W67" s="564"/>
    </row>
    <row r="68" spans="2:23">
      <c r="J68" s="547">
        <v>1</v>
      </c>
      <c r="K68" s="534">
        <v>1</v>
      </c>
      <c r="L68" s="534">
        <v>752</v>
      </c>
      <c r="M68" s="535">
        <v>20</v>
      </c>
      <c r="N68" s="542">
        <v>0.06</v>
      </c>
      <c r="O68" s="534">
        <v>2</v>
      </c>
      <c r="P68" s="540">
        <v>0.1</v>
      </c>
      <c r="Q68" s="567">
        <v>1320</v>
      </c>
      <c r="R68" s="527">
        <v>1.76</v>
      </c>
      <c r="S68" s="515" t="s">
        <v>650</v>
      </c>
      <c r="T68" s="693">
        <f t="shared" si="2"/>
        <v>1.7433510638297873</v>
      </c>
      <c r="U68" s="562">
        <v>7.0000000000000001E-3</v>
      </c>
      <c r="W68" s="564"/>
    </row>
    <row r="69" spans="2:23">
      <c r="J69" s="547">
        <v>1</v>
      </c>
      <c r="K69" s="534">
        <v>1</v>
      </c>
      <c r="L69" s="534">
        <v>753</v>
      </c>
      <c r="M69" s="535">
        <v>60</v>
      </c>
      <c r="N69" s="542">
        <v>0.18</v>
      </c>
      <c r="O69" s="534">
        <v>4</v>
      </c>
      <c r="P69" s="540">
        <v>6.7000000000000004E-2</v>
      </c>
      <c r="Q69" s="567">
        <v>1322</v>
      </c>
      <c r="R69" s="527">
        <v>1.76</v>
      </c>
      <c r="S69" s="515" t="s">
        <v>651</v>
      </c>
      <c r="T69" s="693">
        <f t="shared" si="2"/>
        <v>1.7436918990703851</v>
      </c>
      <c r="U69" s="562">
        <v>7.0000000000000001E-3</v>
      </c>
      <c r="W69" s="564"/>
    </row>
    <row r="70" spans="2:23">
      <c r="J70" s="547">
        <v>1</v>
      </c>
      <c r="K70" s="534">
        <v>1</v>
      </c>
      <c r="L70" s="534">
        <v>800</v>
      </c>
      <c r="M70" s="535">
        <v>20</v>
      </c>
      <c r="N70" s="542">
        <v>0.06</v>
      </c>
      <c r="O70" s="534">
        <v>0</v>
      </c>
      <c r="P70" s="540">
        <v>0</v>
      </c>
      <c r="Q70" s="567">
        <v>1279</v>
      </c>
      <c r="R70" s="527">
        <v>1.6</v>
      </c>
      <c r="S70" s="515" t="s">
        <v>652</v>
      </c>
      <c r="T70" s="693">
        <f t="shared" si="2"/>
        <v>1.5874999999999999</v>
      </c>
      <c r="U70" s="562">
        <v>7.0000000000000001E-3</v>
      </c>
      <c r="W70" s="564"/>
    </row>
    <row r="71" spans="2:23">
      <c r="J71" s="547">
        <v>1</v>
      </c>
      <c r="K71" s="534">
        <v>2</v>
      </c>
      <c r="L71" s="534">
        <v>925</v>
      </c>
      <c r="M71" s="535">
        <v>40</v>
      </c>
      <c r="N71" s="542">
        <v>0.12</v>
      </c>
      <c r="O71" s="534">
        <v>0</v>
      </c>
      <c r="P71" s="540">
        <v>0</v>
      </c>
      <c r="Q71" s="567">
        <v>1334</v>
      </c>
      <c r="R71" s="527">
        <v>1.44</v>
      </c>
      <c r="S71" s="515" t="s">
        <v>653</v>
      </c>
      <c r="T71" s="693">
        <f t="shared" si="2"/>
        <v>1.4313513513513514</v>
      </c>
      <c r="U71" s="562">
        <v>7.0000000000000001E-3</v>
      </c>
      <c r="W71" s="564"/>
    </row>
    <row r="72" spans="2:23">
      <c r="J72" s="547">
        <v>1</v>
      </c>
      <c r="K72" s="534">
        <v>2</v>
      </c>
      <c r="L72" s="534">
        <v>985</v>
      </c>
      <c r="M72" s="535">
        <v>10</v>
      </c>
      <c r="N72" s="542">
        <v>0.03</v>
      </c>
      <c r="O72" s="534">
        <v>2</v>
      </c>
      <c r="P72" s="540">
        <v>0.2</v>
      </c>
      <c r="Q72" s="567">
        <v>1425</v>
      </c>
      <c r="R72" s="527">
        <v>1.45</v>
      </c>
      <c r="S72" s="515" t="s">
        <v>654</v>
      </c>
      <c r="T72" s="693">
        <f t="shared" si="2"/>
        <v>1.4365482233502538</v>
      </c>
      <c r="U72" s="562">
        <v>7.0000000000000001E-3</v>
      </c>
      <c r="W72" s="564"/>
    </row>
    <row r="73" spans="2:23">
      <c r="J73" s="547">
        <v>1</v>
      </c>
      <c r="K73" s="534">
        <v>2</v>
      </c>
      <c r="L73" s="541">
        <v>1032</v>
      </c>
      <c r="M73" s="535">
        <v>10</v>
      </c>
      <c r="N73" s="542">
        <v>0.03</v>
      </c>
      <c r="O73" s="534">
        <v>1</v>
      </c>
      <c r="P73" s="540">
        <v>0.1</v>
      </c>
      <c r="Q73" s="567">
        <v>1484</v>
      </c>
      <c r="R73" s="527">
        <v>1.44</v>
      </c>
      <c r="S73" s="515" t="s">
        <v>655</v>
      </c>
      <c r="T73" s="693">
        <f t="shared" si="2"/>
        <v>1.4282945736434109</v>
      </c>
      <c r="U73" s="562">
        <v>7.0000000000000001E-3</v>
      </c>
      <c r="W73" s="564"/>
    </row>
    <row r="74" spans="2:23">
      <c r="J74" s="547">
        <v>2</v>
      </c>
      <c r="K74" s="534">
        <v>1.5</v>
      </c>
      <c r="L74" s="541">
        <v>1110</v>
      </c>
      <c r="M74" s="535">
        <v>10</v>
      </c>
      <c r="N74" s="542">
        <v>0.03</v>
      </c>
      <c r="O74" s="534">
        <v>0</v>
      </c>
      <c r="P74" s="540">
        <v>0</v>
      </c>
      <c r="Q74" s="567">
        <v>1718</v>
      </c>
      <c r="R74" s="527">
        <v>1.55</v>
      </c>
      <c r="S74" s="515" t="s">
        <v>656</v>
      </c>
      <c r="T74" s="693">
        <f t="shared" si="2"/>
        <v>1.536936936936937</v>
      </c>
      <c r="U74" s="562">
        <v>7.0000000000000001E-3</v>
      </c>
      <c r="W74" s="564"/>
    </row>
    <row r="75" spans="2:23">
      <c r="J75" s="547">
        <v>2</v>
      </c>
      <c r="K75" s="534">
        <v>2</v>
      </c>
      <c r="L75" s="541">
        <v>1000</v>
      </c>
      <c r="M75" s="535">
        <v>83</v>
      </c>
      <c r="N75" s="542">
        <v>0.249</v>
      </c>
      <c r="O75" s="534">
        <v>2</v>
      </c>
      <c r="P75" s="540">
        <v>2.4E-2</v>
      </c>
      <c r="Q75" s="567">
        <v>1404</v>
      </c>
      <c r="R75" s="527">
        <v>1.4</v>
      </c>
      <c r="S75" s="515" t="s">
        <v>657</v>
      </c>
      <c r="T75" s="693">
        <f t="shared" si="2"/>
        <v>1.3939999999999999</v>
      </c>
      <c r="U75" s="562">
        <v>7.0000000000000001E-3</v>
      </c>
      <c r="W75" s="564"/>
    </row>
    <row r="76" spans="2:23">
      <c r="J76" s="547">
        <v>2</v>
      </c>
      <c r="K76" s="534">
        <v>2</v>
      </c>
      <c r="L76" s="541">
        <v>1110</v>
      </c>
      <c r="M76" s="535">
        <v>1</v>
      </c>
      <c r="N76" s="542">
        <v>3.0000000000000001E-3</v>
      </c>
      <c r="O76" s="534">
        <v>0</v>
      </c>
      <c r="P76" s="540">
        <v>0</v>
      </c>
      <c r="Q76" s="567">
        <v>1351</v>
      </c>
      <c r="R76" s="527">
        <v>1.22</v>
      </c>
      <c r="S76" s="515" t="s">
        <v>658</v>
      </c>
      <c r="T76" s="693">
        <f t="shared" si="2"/>
        <v>1.2090090090090091</v>
      </c>
      <c r="U76" s="562">
        <v>7.0000000000000001E-3</v>
      </c>
      <c r="W76" s="564"/>
    </row>
    <row r="77" spans="2:23">
      <c r="J77" s="547">
        <v>2</v>
      </c>
      <c r="K77" s="534">
        <v>2.5</v>
      </c>
      <c r="L77" s="541">
        <v>1260</v>
      </c>
      <c r="M77" s="535">
        <v>1</v>
      </c>
      <c r="N77" s="542">
        <v>3.0000000000000001E-3</v>
      </c>
      <c r="O77" s="534">
        <v>1</v>
      </c>
      <c r="P77" s="540">
        <v>1</v>
      </c>
      <c r="Q77" s="567">
        <v>2132</v>
      </c>
      <c r="R77" s="527">
        <v>1.69</v>
      </c>
      <c r="S77" s="515" t="s">
        <v>659</v>
      </c>
      <c r="T77" s="693">
        <f t="shared" si="2"/>
        <v>1.6801587301587302</v>
      </c>
      <c r="U77" s="562">
        <v>7.0000000000000001E-3</v>
      </c>
      <c r="W77" s="564"/>
    </row>
    <row r="78" spans="2:23">
      <c r="J78" s="547">
        <v>2</v>
      </c>
      <c r="K78" s="534">
        <v>2.5</v>
      </c>
      <c r="L78" s="541">
        <v>1275</v>
      </c>
      <c r="M78" s="535">
        <v>6</v>
      </c>
      <c r="N78" s="542">
        <v>1.7999999999999999E-2</v>
      </c>
      <c r="O78" s="534">
        <v>0</v>
      </c>
      <c r="P78" s="540">
        <v>0</v>
      </c>
      <c r="Q78" s="567">
        <v>1555</v>
      </c>
      <c r="R78" s="527">
        <v>1.22</v>
      </c>
      <c r="S78" s="515" t="s">
        <v>660</v>
      </c>
      <c r="T78" s="693">
        <f t="shared" si="2"/>
        <v>1.2117647058823529</v>
      </c>
      <c r="U78" s="562">
        <v>7.0000000000000001E-3</v>
      </c>
      <c r="W78" s="564"/>
    </row>
    <row r="79" spans="2:23">
      <c r="J79" s="547">
        <v>2</v>
      </c>
      <c r="K79" s="534">
        <v>2.5</v>
      </c>
      <c r="L79" s="541">
        <v>1373</v>
      </c>
      <c r="M79" s="535">
        <v>1</v>
      </c>
      <c r="N79" s="542">
        <v>3.0000000000000001E-3</v>
      </c>
      <c r="O79" s="534">
        <v>0</v>
      </c>
      <c r="P79" s="540">
        <v>0</v>
      </c>
      <c r="Q79" s="567">
        <v>1737</v>
      </c>
      <c r="R79" s="527">
        <v>1.27</v>
      </c>
      <c r="S79" s="515" t="s">
        <v>661</v>
      </c>
      <c r="T79" s="693">
        <f t="shared" si="2"/>
        <v>1.2563729060451565</v>
      </c>
      <c r="U79" s="562">
        <v>7.0000000000000001E-3</v>
      </c>
      <c r="W79" s="564"/>
    </row>
    <row r="80" spans="2:23">
      <c r="B80" s="537"/>
      <c r="J80" s="547">
        <v>3</v>
      </c>
      <c r="K80" s="534">
        <v>2.5</v>
      </c>
      <c r="L80" s="541">
        <v>1390</v>
      </c>
      <c r="M80" s="535">
        <v>5</v>
      </c>
      <c r="N80" s="542">
        <v>1.4999999999999999E-2</v>
      </c>
      <c r="O80" s="534">
        <v>0</v>
      </c>
      <c r="P80" s="540">
        <v>0</v>
      </c>
      <c r="Q80" s="567">
        <v>2062</v>
      </c>
      <c r="R80" s="527">
        <v>1.48</v>
      </c>
      <c r="S80" s="515" t="s">
        <v>662</v>
      </c>
      <c r="T80" s="693">
        <f t="shared" si="2"/>
        <v>1.4726618705035972</v>
      </c>
      <c r="U80" s="562">
        <v>7.0000000000000001E-3</v>
      </c>
      <c r="W80" s="564"/>
    </row>
    <row r="81" spans="2:23">
      <c r="J81" s="547">
        <v>3</v>
      </c>
      <c r="K81" s="534">
        <v>2.5</v>
      </c>
      <c r="L81" s="541">
        <v>1425</v>
      </c>
      <c r="M81" s="535">
        <v>11</v>
      </c>
      <c r="N81" s="542">
        <v>3.3000000000000002E-2</v>
      </c>
      <c r="O81" s="534">
        <v>2</v>
      </c>
      <c r="P81" s="540">
        <v>0.182</v>
      </c>
      <c r="Q81" s="567">
        <v>2245</v>
      </c>
      <c r="R81" s="527">
        <v>1.58</v>
      </c>
      <c r="S81" s="515" t="s">
        <v>663</v>
      </c>
      <c r="T81" s="693">
        <f t="shared" si="2"/>
        <v>1.5642105263157895</v>
      </c>
      <c r="U81" s="562">
        <v>7.0000000000000001E-3</v>
      </c>
      <c r="W81" s="564"/>
    </row>
    <row r="82" spans="2:23">
      <c r="J82" s="548">
        <v>3</v>
      </c>
      <c r="K82" s="549">
        <v>2.5</v>
      </c>
      <c r="L82" s="550">
        <v>1475</v>
      </c>
      <c r="M82" s="551">
        <v>14</v>
      </c>
      <c r="N82" s="552">
        <v>4.2000000000000003E-2</v>
      </c>
      <c r="O82" s="549">
        <v>2</v>
      </c>
      <c r="P82" s="553">
        <v>0.14299999999999999</v>
      </c>
      <c r="Q82" s="568">
        <v>2369</v>
      </c>
      <c r="R82" s="565">
        <v>1.61</v>
      </c>
      <c r="S82" s="517" t="s">
        <v>664</v>
      </c>
      <c r="T82" s="694">
        <f t="shared" si="2"/>
        <v>1.5945762711864406</v>
      </c>
      <c r="U82" s="563">
        <v>7.0000000000000001E-3</v>
      </c>
      <c r="W82" s="564"/>
    </row>
    <row r="83" spans="2:23" ht="15.75">
      <c r="C83" s="485"/>
      <c r="J83" s="547"/>
      <c r="K83" s="534"/>
      <c r="L83" s="534"/>
      <c r="M83" s="535"/>
      <c r="N83" s="542"/>
      <c r="O83" s="534"/>
      <c r="P83" s="534"/>
      <c r="Q83" s="534"/>
      <c r="S83" s="570"/>
      <c r="U83" s="555"/>
    </row>
    <row r="84" spans="2:23">
      <c r="J84" s="547" t="s">
        <v>641</v>
      </c>
      <c r="K84" s="534"/>
      <c r="L84" s="534">
        <v>806</v>
      </c>
      <c r="M84" s="535">
        <v>201</v>
      </c>
      <c r="N84" s="542">
        <v>0.60399999999999998</v>
      </c>
      <c r="O84" s="534">
        <v>11</v>
      </c>
      <c r="P84" s="540">
        <v>5.5E-2</v>
      </c>
      <c r="Q84" s="541">
        <v>1292</v>
      </c>
      <c r="R84" s="527">
        <v>1.6</v>
      </c>
      <c r="S84" s="529">
        <v>1284</v>
      </c>
      <c r="T84" s="527">
        <v>1.59</v>
      </c>
      <c r="U84" s="571">
        <v>7.0000000000000001E-3</v>
      </c>
    </row>
    <row r="85" spans="2:23">
      <c r="J85" s="547" t="s">
        <v>642</v>
      </c>
      <c r="K85" s="534"/>
      <c r="L85" s="541">
        <v>1034</v>
      </c>
      <c r="M85" s="535">
        <v>102</v>
      </c>
      <c r="N85" s="542">
        <v>0.30599999999999999</v>
      </c>
      <c r="O85" s="534">
        <v>3</v>
      </c>
      <c r="P85" s="540">
        <v>2.9000000000000001E-2</v>
      </c>
      <c r="Q85" s="541">
        <v>1453</v>
      </c>
      <c r="R85" s="527">
        <v>1.41</v>
      </c>
      <c r="S85" s="529">
        <v>1443</v>
      </c>
      <c r="T85" s="527">
        <v>1.4</v>
      </c>
      <c r="U85" s="571">
        <v>7.0000000000000001E-3</v>
      </c>
    </row>
    <row r="86" spans="2:23">
      <c r="J86" s="547" t="s">
        <v>643</v>
      </c>
      <c r="K86" s="534"/>
      <c r="L86" s="541">
        <v>1443</v>
      </c>
      <c r="M86" s="535">
        <v>30</v>
      </c>
      <c r="N86" s="542">
        <v>0.09</v>
      </c>
      <c r="O86" s="534">
        <v>4</v>
      </c>
      <c r="P86" s="540">
        <v>0.13300000000000001</v>
      </c>
      <c r="Q86" s="541">
        <v>2272</v>
      </c>
      <c r="R86" s="527">
        <v>1.58</v>
      </c>
      <c r="S86" s="529">
        <v>2256</v>
      </c>
      <c r="T86" s="527">
        <v>1.56</v>
      </c>
      <c r="U86" s="571">
        <v>7.0000000000000001E-3</v>
      </c>
    </row>
    <row r="87" spans="2:23">
      <c r="J87" s="556" t="s">
        <v>644</v>
      </c>
      <c r="K87" s="557"/>
      <c r="L87" s="557">
        <v>934</v>
      </c>
      <c r="M87" s="558">
        <v>333</v>
      </c>
      <c r="N87" s="559">
        <v>1</v>
      </c>
      <c r="O87" s="557">
        <v>18</v>
      </c>
      <c r="P87" s="560">
        <v>5.3999999999999999E-2</v>
      </c>
      <c r="Q87" s="569">
        <v>1430</v>
      </c>
      <c r="R87" s="565">
        <v>1.53</v>
      </c>
      <c r="S87" s="531">
        <v>1420</v>
      </c>
      <c r="T87" s="528">
        <v>1.52</v>
      </c>
      <c r="U87" s="572">
        <v>7.0000000000000001E-3</v>
      </c>
    </row>
    <row r="88" spans="2:23">
      <c r="J88" s="534"/>
      <c r="K88" s="534"/>
      <c r="L88" s="534"/>
      <c r="M88" s="535"/>
      <c r="N88" s="536"/>
      <c r="O88" s="534"/>
      <c r="P88" s="534"/>
      <c r="Q88" s="534"/>
    </row>
    <row r="89" spans="2:23">
      <c r="T89" s="1235">
        <f>SUMPRODUCT(M67:M82,T67:T82)/SUM(M67:M82)</f>
        <v>1.5370250789502422</v>
      </c>
    </row>
    <row r="90" spans="2:23" ht="15.75">
      <c r="C90" s="485" t="s">
        <v>665</v>
      </c>
    </row>
    <row r="91" spans="2:23" ht="18.75">
      <c r="B91" s="486"/>
      <c r="J91" s="505" t="str">
        <f>C8</f>
        <v>Jefferson Pointe</v>
      </c>
      <c r="K91" s="506"/>
      <c r="L91" s="506"/>
      <c r="M91" s="506"/>
      <c r="N91" s="506"/>
      <c r="O91" s="506"/>
      <c r="P91" s="506"/>
      <c r="Q91" s="506"/>
      <c r="R91" s="506"/>
      <c r="S91" s="506"/>
      <c r="T91" s="506"/>
      <c r="U91" s="581"/>
    </row>
    <row r="92" spans="2:23" ht="18.75">
      <c r="B92" s="486"/>
      <c r="J92" s="509" t="s">
        <v>666</v>
      </c>
      <c r="K92" s="478"/>
      <c r="L92" s="478"/>
      <c r="M92" s="478"/>
      <c r="N92" s="478"/>
      <c r="O92" s="478"/>
      <c r="P92" s="478"/>
      <c r="Q92" s="478"/>
      <c r="R92" s="478"/>
      <c r="S92" s="478"/>
      <c r="T92" s="478"/>
      <c r="U92" s="582"/>
    </row>
    <row r="93" spans="2:23">
      <c r="J93" s="583" t="s">
        <v>627</v>
      </c>
      <c r="K93" s="575" t="s">
        <v>628</v>
      </c>
      <c r="L93" s="575" t="s">
        <v>539</v>
      </c>
      <c r="M93" s="575" t="s">
        <v>629</v>
      </c>
      <c r="N93" s="575" t="s">
        <v>630</v>
      </c>
      <c r="O93" s="575" t="s">
        <v>631</v>
      </c>
      <c r="P93" s="575" t="s">
        <v>632</v>
      </c>
      <c r="Q93" s="575" t="s">
        <v>633</v>
      </c>
      <c r="R93" s="503" t="s">
        <v>634</v>
      </c>
      <c r="S93" s="503" t="s">
        <v>635</v>
      </c>
      <c r="T93" s="503" t="s">
        <v>636</v>
      </c>
      <c r="U93" s="511" t="s">
        <v>637</v>
      </c>
    </row>
    <row r="94" spans="2:23">
      <c r="J94" s="547" t="s">
        <v>638</v>
      </c>
      <c r="K94" s="534">
        <v>1</v>
      </c>
      <c r="L94" s="579">
        <v>784</v>
      </c>
      <c r="M94" s="578">
        <v>32</v>
      </c>
      <c r="N94" s="542">
        <v>8.2000000000000003E-2</v>
      </c>
      <c r="O94" s="534">
        <v>5</v>
      </c>
      <c r="P94" s="542">
        <v>0.15629999999999999</v>
      </c>
      <c r="Q94" s="579">
        <v>1384</v>
      </c>
      <c r="R94" s="515">
        <v>1.77</v>
      </c>
      <c r="S94" s="579">
        <v>1384</v>
      </c>
      <c r="T94" s="693">
        <f t="shared" ref="T94:T107" si="3">S94/L94</f>
        <v>1.7653061224489797</v>
      </c>
      <c r="U94" s="1239">
        <v>0</v>
      </c>
    </row>
    <row r="95" spans="2:23" ht="15.75">
      <c r="C95" s="574"/>
      <c r="J95" s="547" t="s">
        <v>638</v>
      </c>
      <c r="K95" s="534">
        <v>1</v>
      </c>
      <c r="L95" s="579">
        <v>870</v>
      </c>
      <c r="M95" s="578">
        <v>20</v>
      </c>
      <c r="N95" s="542">
        <v>5.0999999999999997E-2</v>
      </c>
      <c r="O95" s="534">
        <v>0</v>
      </c>
      <c r="P95" s="542">
        <v>0</v>
      </c>
      <c r="Q95" s="579">
        <v>1530</v>
      </c>
      <c r="R95" s="515">
        <v>1.76</v>
      </c>
      <c r="S95" s="579">
        <v>1530</v>
      </c>
      <c r="T95" s="693">
        <f t="shared" si="3"/>
        <v>1.7586206896551724</v>
      </c>
      <c r="U95" s="1239">
        <v>0</v>
      </c>
    </row>
    <row r="96" spans="2:23" ht="15.75">
      <c r="C96" s="574"/>
      <c r="J96" s="547" t="s">
        <v>638</v>
      </c>
      <c r="K96" s="534">
        <v>1</v>
      </c>
      <c r="L96" s="579">
        <v>879</v>
      </c>
      <c r="M96" s="578">
        <v>54</v>
      </c>
      <c r="N96" s="542">
        <v>0.13800000000000001</v>
      </c>
      <c r="O96" s="534">
        <v>2</v>
      </c>
      <c r="P96" s="542">
        <v>3.6999999999999998E-2</v>
      </c>
      <c r="Q96" s="579">
        <v>1509</v>
      </c>
      <c r="R96" s="515">
        <v>1.72</v>
      </c>
      <c r="S96" s="579">
        <v>1509</v>
      </c>
      <c r="T96" s="693">
        <f t="shared" si="3"/>
        <v>1.7167235494880546</v>
      </c>
      <c r="U96" s="1239">
        <v>0</v>
      </c>
    </row>
    <row r="97" spans="3:21" ht="15.75">
      <c r="C97" s="574"/>
      <c r="J97" s="547" t="s">
        <v>638</v>
      </c>
      <c r="K97" s="534">
        <v>1</v>
      </c>
      <c r="L97" s="579">
        <v>883</v>
      </c>
      <c r="M97" s="578">
        <v>20</v>
      </c>
      <c r="N97" s="542">
        <v>5.0999999999999997E-2</v>
      </c>
      <c r="O97" s="534">
        <v>0</v>
      </c>
      <c r="P97" s="542">
        <v>0</v>
      </c>
      <c r="Q97" s="579">
        <v>1352</v>
      </c>
      <c r="R97" s="515">
        <v>1.53</v>
      </c>
      <c r="S97" s="579">
        <v>1352</v>
      </c>
      <c r="T97" s="693">
        <f t="shared" si="3"/>
        <v>1.5311438278595697</v>
      </c>
      <c r="U97" s="1239">
        <v>0</v>
      </c>
    </row>
    <row r="98" spans="3:21" ht="15.75">
      <c r="C98" s="574"/>
      <c r="J98" s="547" t="s">
        <v>638</v>
      </c>
      <c r="K98" s="534">
        <v>1</v>
      </c>
      <c r="L98" s="579">
        <v>984</v>
      </c>
      <c r="M98" s="578">
        <v>20</v>
      </c>
      <c r="N98" s="542">
        <v>5.0999999999999997E-2</v>
      </c>
      <c r="O98" s="534">
        <v>0</v>
      </c>
      <c r="P98" s="542">
        <v>0</v>
      </c>
      <c r="Q98" s="579">
        <v>1375</v>
      </c>
      <c r="R98" s="515">
        <v>1.4</v>
      </c>
      <c r="S98" s="579">
        <v>1375</v>
      </c>
      <c r="T98" s="693">
        <f t="shared" si="3"/>
        <v>1.3973577235772359</v>
      </c>
      <c r="U98" s="1239">
        <v>0</v>
      </c>
    </row>
    <row r="99" spans="3:21" ht="15.75">
      <c r="C99" s="574"/>
      <c r="J99" s="547" t="s">
        <v>638</v>
      </c>
      <c r="K99" s="534">
        <v>1</v>
      </c>
      <c r="L99" s="579">
        <v>989</v>
      </c>
      <c r="M99" s="578">
        <v>20</v>
      </c>
      <c r="N99" s="542">
        <v>5.0999999999999997E-2</v>
      </c>
      <c r="O99" s="534">
        <v>0</v>
      </c>
      <c r="P99" s="542">
        <v>0</v>
      </c>
      <c r="Q99" s="579">
        <v>1504</v>
      </c>
      <c r="R99" s="515">
        <v>1.52</v>
      </c>
      <c r="S99" s="579">
        <v>1504</v>
      </c>
      <c r="T99" s="693">
        <f t="shared" si="3"/>
        <v>1.5207280080889787</v>
      </c>
      <c r="U99" s="1239">
        <v>0</v>
      </c>
    </row>
    <row r="100" spans="3:21" ht="15.75">
      <c r="C100" s="574"/>
      <c r="J100" s="547" t="s">
        <v>639</v>
      </c>
      <c r="K100" s="534">
        <v>2</v>
      </c>
      <c r="L100" s="579">
        <v>1105</v>
      </c>
      <c r="M100" s="578">
        <v>44</v>
      </c>
      <c r="N100" s="542">
        <v>0.113</v>
      </c>
      <c r="O100" s="534">
        <v>1</v>
      </c>
      <c r="P100" s="542">
        <v>2.2700000000000001E-2</v>
      </c>
      <c r="Q100" s="579">
        <v>1815</v>
      </c>
      <c r="R100" s="515">
        <v>1.64</v>
      </c>
      <c r="S100" s="579">
        <v>1815</v>
      </c>
      <c r="T100" s="693">
        <f t="shared" si="3"/>
        <v>1.6425339366515836</v>
      </c>
      <c r="U100" s="1239">
        <v>0</v>
      </c>
    </row>
    <row r="101" spans="3:21" ht="15.75">
      <c r="C101" s="574"/>
      <c r="J101" s="547" t="s">
        <v>639</v>
      </c>
      <c r="K101" s="534">
        <v>2</v>
      </c>
      <c r="L101" s="579">
        <v>1209</v>
      </c>
      <c r="M101" s="578">
        <v>20</v>
      </c>
      <c r="N101" s="542">
        <v>5.0999999999999997E-2</v>
      </c>
      <c r="O101" s="534">
        <v>2</v>
      </c>
      <c r="P101" s="542">
        <v>0.1</v>
      </c>
      <c r="Q101" s="579">
        <v>1821</v>
      </c>
      <c r="R101" s="515">
        <v>1.51</v>
      </c>
      <c r="S101" s="579">
        <v>1821</v>
      </c>
      <c r="T101" s="693">
        <f t="shared" si="3"/>
        <v>1.5062034739454093</v>
      </c>
      <c r="U101" s="1239">
        <v>0</v>
      </c>
    </row>
    <row r="102" spans="3:21">
      <c r="J102" s="547" t="s">
        <v>639</v>
      </c>
      <c r="K102" s="534">
        <v>2</v>
      </c>
      <c r="L102" s="579">
        <v>1289</v>
      </c>
      <c r="M102" s="578">
        <v>32</v>
      </c>
      <c r="N102" s="542">
        <v>8.2000000000000003E-2</v>
      </c>
      <c r="O102" s="534">
        <v>2</v>
      </c>
      <c r="P102" s="542">
        <v>6.25E-2</v>
      </c>
      <c r="Q102" s="579">
        <v>1829</v>
      </c>
      <c r="R102" s="515">
        <v>1.42</v>
      </c>
      <c r="S102" s="579">
        <v>1829</v>
      </c>
      <c r="T102" s="693">
        <f t="shared" si="3"/>
        <v>1.4189294026377037</v>
      </c>
      <c r="U102" s="1239">
        <v>0</v>
      </c>
    </row>
    <row r="103" spans="3:21">
      <c r="J103" s="547" t="s">
        <v>639</v>
      </c>
      <c r="K103" s="534">
        <v>2</v>
      </c>
      <c r="L103" s="579">
        <v>1302</v>
      </c>
      <c r="M103" s="578">
        <v>54</v>
      </c>
      <c r="N103" s="542">
        <v>0.13800000000000001</v>
      </c>
      <c r="O103" s="534">
        <v>5</v>
      </c>
      <c r="P103" s="542">
        <v>9.2600000000000002E-2</v>
      </c>
      <c r="Q103" s="579">
        <v>1828</v>
      </c>
      <c r="R103" s="515">
        <v>1.4</v>
      </c>
      <c r="S103" s="579">
        <v>1828</v>
      </c>
      <c r="T103" s="693">
        <f t="shared" si="3"/>
        <v>1.4039938556067588</v>
      </c>
      <c r="U103" s="1239">
        <v>0</v>
      </c>
    </row>
    <row r="104" spans="3:21">
      <c r="J104" s="547" t="s">
        <v>639</v>
      </c>
      <c r="K104" s="534">
        <v>2</v>
      </c>
      <c r="L104" s="579">
        <v>1416</v>
      </c>
      <c r="M104" s="578">
        <v>44</v>
      </c>
      <c r="N104" s="542">
        <v>0.113</v>
      </c>
      <c r="O104" s="534">
        <v>2</v>
      </c>
      <c r="P104" s="542">
        <v>4.5499999999999999E-2</v>
      </c>
      <c r="Q104" s="579">
        <v>1849</v>
      </c>
      <c r="R104" s="515">
        <v>1.31</v>
      </c>
      <c r="S104" s="579">
        <v>1849</v>
      </c>
      <c r="T104" s="693">
        <f t="shared" si="3"/>
        <v>1.3057909604519775</v>
      </c>
      <c r="U104" s="1239">
        <v>0</v>
      </c>
    </row>
    <row r="105" spans="3:21">
      <c r="J105" s="547" t="s">
        <v>640</v>
      </c>
      <c r="K105" s="534">
        <v>2</v>
      </c>
      <c r="L105" s="579">
        <v>1652</v>
      </c>
      <c r="M105" s="578">
        <v>15</v>
      </c>
      <c r="N105" s="542">
        <v>3.7999999999999999E-2</v>
      </c>
      <c r="O105" s="534">
        <v>0</v>
      </c>
      <c r="P105" s="542">
        <v>0</v>
      </c>
      <c r="Q105" s="579">
        <v>2100</v>
      </c>
      <c r="R105" s="515">
        <v>1.27</v>
      </c>
      <c r="S105" s="579">
        <v>2100</v>
      </c>
      <c r="T105" s="693">
        <f t="shared" si="3"/>
        <v>1.271186440677966</v>
      </c>
      <c r="U105" s="1239">
        <v>0</v>
      </c>
    </row>
    <row r="106" spans="3:21">
      <c r="J106" s="547" t="s">
        <v>640</v>
      </c>
      <c r="K106" s="534">
        <v>2</v>
      </c>
      <c r="L106" s="579">
        <v>1779</v>
      </c>
      <c r="M106" s="578">
        <v>1</v>
      </c>
      <c r="N106" s="542">
        <v>3.0000000000000001E-3</v>
      </c>
      <c r="O106" s="534">
        <v>1</v>
      </c>
      <c r="P106" s="542">
        <v>1</v>
      </c>
      <c r="Q106" s="579">
        <v>3394</v>
      </c>
      <c r="R106" s="515">
        <v>1.91</v>
      </c>
      <c r="S106" s="579">
        <v>3394</v>
      </c>
      <c r="T106" s="693">
        <f t="shared" si="3"/>
        <v>1.9078133783024172</v>
      </c>
      <c r="U106" s="1239">
        <v>0</v>
      </c>
    </row>
    <row r="107" spans="3:21">
      <c r="J107" s="548" t="s">
        <v>640</v>
      </c>
      <c r="K107" s="549">
        <v>2</v>
      </c>
      <c r="L107" s="584">
        <v>1995</v>
      </c>
      <c r="M107" s="585">
        <v>14</v>
      </c>
      <c r="N107" s="552">
        <v>3.5999999999999997E-2</v>
      </c>
      <c r="O107" s="549">
        <v>0</v>
      </c>
      <c r="P107" s="552">
        <v>0</v>
      </c>
      <c r="Q107" s="584">
        <v>2232</v>
      </c>
      <c r="R107" s="517">
        <v>1.1200000000000001</v>
      </c>
      <c r="S107" s="584">
        <v>2232</v>
      </c>
      <c r="T107" s="694">
        <f t="shared" si="3"/>
        <v>1.1187969924812029</v>
      </c>
      <c r="U107" s="1240">
        <v>0</v>
      </c>
    </row>
    <row r="108" spans="3:21">
      <c r="J108" s="547"/>
      <c r="K108" s="534"/>
      <c r="L108" s="579"/>
      <c r="M108" s="534"/>
      <c r="N108" s="542"/>
      <c r="O108" s="534"/>
      <c r="P108" s="542"/>
      <c r="Q108" s="534"/>
      <c r="R108" s="515"/>
      <c r="S108" s="515"/>
      <c r="T108" s="515"/>
      <c r="U108" s="1239"/>
    </row>
    <row r="109" spans="3:21">
      <c r="J109" s="547" t="s">
        <v>641</v>
      </c>
      <c r="K109" s="534"/>
      <c r="L109" s="579">
        <v>886</v>
      </c>
      <c r="M109" s="534">
        <v>166</v>
      </c>
      <c r="N109" s="542">
        <v>0.42599999999999999</v>
      </c>
      <c r="O109" s="534">
        <v>7</v>
      </c>
      <c r="P109" s="542">
        <v>4.2200000000000001E-2</v>
      </c>
      <c r="Q109" s="579">
        <v>1452</v>
      </c>
      <c r="R109" s="515">
        <v>1.64</v>
      </c>
      <c r="S109" s="593">
        <v>1452</v>
      </c>
      <c r="T109" s="515">
        <v>1.64</v>
      </c>
      <c r="U109" s="1239">
        <v>0</v>
      </c>
    </row>
    <row r="110" spans="3:21">
      <c r="J110" s="547" t="s">
        <v>642</v>
      </c>
      <c r="K110" s="534"/>
      <c r="L110" s="579">
        <v>1271</v>
      </c>
      <c r="M110" s="534">
        <v>194</v>
      </c>
      <c r="N110" s="542">
        <v>0.497</v>
      </c>
      <c r="O110" s="534">
        <v>12</v>
      </c>
      <c r="P110" s="542">
        <v>6.1899999999999997E-2</v>
      </c>
      <c r="Q110" s="579">
        <v>1829</v>
      </c>
      <c r="R110" s="515">
        <v>1.44</v>
      </c>
      <c r="S110" s="593">
        <v>1829</v>
      </c>
      <c r="T110" s="515">
        <v>1.44</v>
      </c>
      <c r="U110" s="1239">
        <v>0</v>
      </c>
    </row>
    <row r="111" spans="3:21">
      <c r="J111" s="547" t="s">
        <v>643</v>
      </c>
      <c r="K111" s="534"/>
      <c r="L111" s="579">
        <v>1816</v>
      </c>
      <c r="M111" s="534">
        <v>30</v>
      </c>
      <c r="N111" s="542">
        <v>7.6999999999999999E-2</v>
      </c>
      <c r="O111" s="534">
        <v>1</v>
      </c>
      <c r="P111" s="542">
        <v>3.3300000000000003E-2</v>
      </c>
      <c r="Q111" s="579">
        <v>2205</v>
      </c>
      <c r="R111" s="515">
        <v>1.21</v>
      </c>
      <c r="S111" s="593">
        <v>2205</v>
      </c>
      <c r="T111" s="515">
        <v>1.21</v>
      </c>
      <c r="U111" s="1239">
        <v>0</v>
      </c>
    </row>
    <row r="112" spans="3:21">
      <c r="J112" s="587" t="s">
        <v>644</v>
      </c>
      <c r="K112" s="538"/>
      <c r="L112" s="580">
        <v>1149</v>
      </c>
      <c r="M112" s="539">
        <v>390</v>
      </c>
      <c r="N112" s="543">
        <v>1</v>
      </c>
      <c r="O112" s="589">
        <v>20</v>
      </c>
      <c r="P112" s="577">
        <v>5.1299999999999998E-2</v>
      </c>
      <c r="Q112" s="590">
        <v>1697</v>
      </c>
      <c r="R112" s="591">
        <v>1.48</v>
      </c>
      <c r="S112" s="594">
        <v>1697</v>
      </c>
      <c r="T112" s="591">
        <v>1.48</v>
      </c>
      <c r="U112" s="592">
        <v>0</v>
      </c>
    </row>
    <row r="113" spans="2:21">
      <c r="J113" s="588"/>
      <c r="K113" s="554"/>
      <c r="L113" s="554"/>
      <c r="M113" s="554"/>
      <c r="N113" s="554"/>
      <c r="O113" s="554"/>
      <c r="P113" s="554"/>
      <c r="Q113" s="554"/>
      <c r="R113" s="554"/>
      <c r="S113" s="554"/>
      <c r="T113" s="554"/>
      <c r="U113" s="586"/>
    </row>
    <row r="114" spans="2:21">
      <c r="T114" s="1235">
        <f>SUMPRODUCT(M94:M107,T94:T107)/SUM(M94:M107)</f>
        <v>1.5155395243491963</v>
      </c>
    </row>
    <row r="116" spans="2:21" ht="15.75">
      <c r="B116" s="486"/>
      <c r="C116" s="485" t="s">
        <v>667</v>
      </c>
    </row>
    <row r="117" spans="2:21" ht="18.75">
      <c r="J117" s="505" t="str">
        <f>C9</f>
        <v>Sandstone Creek</v>
      </c>
      <c r="K117" s="506"/>
      <c r="L117" s="506"/>
      <c r="M117" s="506"/>
      <c r="N117" s="506"/>
      <c r="O117" s="506"/>
      <c r="P117" s="506"/>
      <c r="Q117" s="506"/>
      <c r="R117" s="506"/>
      <c r="S117" s="506"/>
      <c r="T117" s="506"/>
      <c r="U117" s="581"/>
    </row>
    <row r="118" spans="2:21" ht="18.75">
      <c r="J118" s="509" t="s">
        <v>668</v>
      </c>
      <c r="K118" s="478"/>
      <c r="L118" s="478"/>
      <c r="M118" s="478"/>
      <c r="N118" s="478"/>
      <c r="O118" s="478"/>
      <c r="P118" s="478"/>
      <c r="Q118" s="478"/>
      <c r="R118" s="478"/>
      <c r="S118" s="478"/>
      <c r="T118" s="478"/>
      <c r="U118" s="582"/>
    </row>
    <row r="119" spans="2:21">
      <c r="J119" s="627" t="s">
        <v>627</v>
      </c>
      <c r="K119" s="628" t="s">
        <v>628</v>
      </c>
      <c r="L119" s="628" t="s">
        <v>539</v>
      </c>
      <c r="M119" s="628" t="s">
        <v>629</v>
      </c>
      <c r="N119" s="628" t="s">
        <v>630</v>
      </c>
      <c r="O119" s="628" t="s">
        <v>631</v>
      </c>
      <c r="P119" s="628" t="s">
        <v>632</v>
      </c>
      <c r="Q119" s="628" t="s">
        <v>633</v>
      </c>
      <c r="R119" s="629" t="s">
        <v>634</v>
      </c>
      <c r="S119" s="629" t="s">
        <v>635</v>
      </c>
      <c r="T119" s="629" t="s">
        <v>636</v>
      </c>
      <c r="U119" s="630" t="s">
        <v>637</v>
      </c>
    </row>
    <row r="120" spans="2:21">
      <c r="J120" s="547" t="s">
        <v>638</v>
      </c>
      <c r="K120" s="534">
        <v>1</v>
      </c>
      <c r="L120" s="541">
        <v>774</v>
      </c>
      <c r="M120" s="535">
        <v>52</v>
      </c>
      <c r="N120" s="536">
        <v>0.14299999999999999</v>
      </c>
      <c r="O120" s="534">
        <v>0</v>
      </c>
      <c r="P120" s="542">
        <v>0</v>
      </c>
      <c r="Q120" s="576">
        <v>1211</v>
      </c>
      <c r="R120" s="527">
        <v>1.56</v>
      </c>
      <c r="S120" s="529">
        <v>1211</v>
      </c>
      <c r="T120" s="527">
        <f t="shared" ref="T120:T126" si="4">S120/L120</f>
        <v>1.5645994832041343</v>
      </c>
      <c r="U120" s="1241">
        <v>0</v>
      </c>
    </row>
    <row r="121" spans="2:21">
      <c r="J121" s="547" t="s">
        <v>638</v>
      </c>
      <c r="K121" s="534">
        <v>1</v>
      </c>
      <c r="L121" s="541">
        <v>801</v>
      </c>
      <c r="M121" s="535">
        <v>52</v>
      </c>
      <c r="N121" s="536">
        <v>0.14299999999999999</v>
      </c>
      <c r="O121" s="534">
        <v>2</v>
      </c>
      <c r="P121" s="542">
        <v>3.85E-2</v>
      </c>
      <c r="Q121" s="576">
        <v>1187</v>
      </c>
      <c r="R121" s="527">
        <v>1.48</v>
      </c>
      <c r="S121" s="529">
        <v>1187</v>
      </c>
      <c r="T121" s="527">
        <f t="shared" si="4"/>
        <v>1.4818976279650438</v>
      </c>
      <c r="U121" s="1241">
        <v>0</v>
      </c>
    </row>
    <row r="122" spans="2:21">
      <c r="J122" s="547" t="s">
        <v>638</v>
      </c>
      <c r="K122" s="534">
        <v>1</v>
      </c>
      <c r="L122" s="541">
        <v>834</v>
      </c>
      <c r="M122" s="535">
        <v>52</v>
      </c>
      <c r="N122" s="536">
        <v>0.14299999999999999</v>
      </c>
      <c r="O122" s="534">
        <v>2</v>
      </c>
      <c r="P122" s="542">
        <v>3.85E-2</v>
      </c>
      <c r="Q122" s="576">
        <v>1315</v>
      </c>
      <c r="R122" s="527">
        <v>1.58</v>
      </c>
      <c r="S122" s="529">
        <v>1315</v>
      </c>
      <c r="T122" s="527">
        <f t="shared" si="4"/>
        <v>1.5767386091127098</v>
      </c>
      <c r="U122" s="1241">
        <v>0</v>
      </c>
    </row>
    <row r="123" spans="2:21">
      <c r="J123" s="547" t="s">
        <v>639</v>
      </c>
      <c r="K123" s="534">
        <v>1</v>
      </c>
      <c r="L123" s="541">
        <v>1057</v>
      </c>
      <c r="M123" s="535">
        <v>52</v>
      </c>
      <c r="N123" s="536">
        <v>0.14299999999999999</v>
      </c>
      <c r="O123" s="534">
        <v>3</v>
      </c>
      <c r="P123" s="542">
        <v>5.7700000000000001E-2</v>
      </c>
      <c r="Q123" s="576">
        <v>1701</v>
      </c>
      <c r="R123" s="527">
        <v>1.61</v>
      </c>
      <c r="S123" s="529">
        <v>1701</v>
      </c>
      <c r="T123" s="527">
        <f t="shared" si="4"/>
        <v>1.6092715231788079</v>
      </c>
      <c r="U123" s="1241">
        <v>0</v>
      </c>
    </row>
    <row r="124" spans="2:21">
      <c r="J124" s="547" t="s">
        <v>639</v>
      </c>
      <c r="K124" s="534">
        <v>2</v>
      </c>
      <c r="L124" s="541">
        <v>1105</v>
      </c>
      <c r="M124" s="535">
        <v>52</v>
      </c>
      <c r="N124" s="536">
        <v>0.14299999999999999</v>
      </c>
      <c r="O124" s="534">
        <v>8</v>
      </c>
      <c r="P124" s="542">
        <v>0.15379999999999999</v>
      </c>
      <c r="Q124" s="576">
        <v>1741</v>
      </c>
      <c r="R124" s="527">
        <v>1.58</v>
      </c>
      <c r="S124" s="529">
        <v>1741</v>
      </c>
      <c r="T124" s="527">
        <f t="shared" si="4"/>
        <v>1.5755656108597285</v>
      </c>
      <c r="U124" s="1241">
        <v>0</v>
      </c>
    </row>
    <row r="125" spans="2:21">
      <c r="J125" s="547" t="s">
        <v>639</v>
      </c>
      <c r="K125" s="534">
        <v>2</v>
      </c>
      <c r="L125" s="541">
        <v>1210</v>
      </c>
      <c r="M125" s="535">
        <v>52</v>
      </c>
      <c r="N125" s="536">
        <v>0.14299999999999999</v>
      </c>
      <c r="O125" s="534">
        <v>10</v>
      </c>
      <c r="P125" s="542">
        <v>0.1923</v>
      </c>
      <c r="Q125" s="576">
        <v>1419</v>
      </c>
      <c r="R125" s="527">
        <v>1.17</v>
      </c>
      <c r="S125" s="529">
        <v>1419</v>
      </c>
      <c r="T125" s="527">
        <f t="shared" si="4"/>
        <v>1.1727272727272726</v>
      </c>
      <c r="U125" s="1241">
        <v>0</v>
      </c>
    </row>
    <row r="126" spans="2:21">
      <c r="J126" s="548" t="s">
        <v>640</v>
      </c>
      <c r="K126" s="549">
        <v>2</v>
      </c>
      <c r="L126" s="550">
        <v>1415</v>
      </c>
      <c r="M126" s="551">
        <v>52</v>
      </c>
      <c r="N126" s="573">
        <v>0.14299999999999999</v>
      </c>
      <c r="O126" s="549">
        <v>7</v>
      </c>
      <c r="P126" s="552">
        <v>0.1346</v>
      </c>
      <c r="Q126" s="596">
        <v>1717</v>
      </c>
      <c r="R126" s="565">
        <v>1.21</v>
      </c>
      <c r="S126" s="597">
        <v>1717</v>
      </c>
      <c r="T126" s="565">
        <f t="shared" si="4"/>
        <v>1.2134275618374559</v>
      </c>
      <c r="U126" s="1242">
        <v>0</v>
      </c>
    </row>
    <row r="127" spans="2:21">
      <c r="J127" s="547"/>
      <c r="K127" s="534"/>
      <c r="L127" s="541"/>
      <c r="M127" s="535"/>
      <c r="N127" s="536"/>
      <c r="O127" s="534"/>
      <c r="P127" s="542"/>
      <c r="Q127" s="576"/>
      <c r="R127" s="527"/>
      <c r="S127" s="529"/>
      <c r="T127" s="527"/>
      <c r="U127" s="1241"/>
    </row>
    <row r="128" spans="2:21">
      <c r="J128" s="547" t="s">
        <v>641</v>
      </c>
      <c r="K128" s="534"/>
      <c r="L128" s="541">
        <v>803</v>
      </c>
      <c r="M128" s="535">
        <v>156</v>
      </c>
      <c r="N128" s="536">
        <v>0.42899999999999999</v>
      </c>
      <c r="O128" s="534">
        <v>4</v>
      </c>
      <c r="P128" s="542">
        <v>2.5600000000000001E-2</v>
      </c>
      <c r="Q128" s="576">
        <v>1238</v>
      </c>
      <c r="R128" s="527">
        <v>1.54</v>
      </c>
      <c r="S128" s="529">
        <v>1238</v>
      </c>
      <c r="T128" s="527">
        <v>1.54</v>
      </c>
      <c r="U128" s="1241">
        <v>0</v>
      </c>
    </row>
    <row r="129" spans="3:23">
      <c r="J129" s="547" t="s">
        <v>642</v>
      </c>
      <c r="K129" s="534"/>
      <c r="L129" s="541">
        <v>1124</v>
      </c>
      <c r="M129" s="535">
        <v>156</v>
      </c>
      <c r="N129" s="536">
        <v>0.42899999999999999</v>
      </c>
      <c r="O129" s="534">
        <v>21</v>
      </c>
      <c r="P129" s="542">
        <v>0.1346</v>
      </c>
      <c r="Q129" s="576">
        <v>1620</v>
      </c>
      <c r="R129" s="527">
        <v>1.44</v>
      </c>
      <c r="S129" s="529">
        <v>1620</v>
      </c>
      <c r="T129" s="527">
        <v>1.44</v>
      </c>
      <c r="U129" s="1241">
        <v>0</v>
      </c>
    </row>
    <row r="130" spans="3:23">
      <c r="J130" s="547" t="s">
        <v>643</v>
      </c>
      <c r="K130" s="534"/>
      <c r="L130" s="541">
        <v>1415</v>
      </c>
      <c r="M130" s="535">
        <v>52</v>
      </c>
      <c r="N130" s="536">
        <v>0.14299999999999999</v>
      </c>
      <c r="O130" s="534">
        <v>7</v>
      </c>
      <c r="P130" s="542">
        <v>0.1346</v>
      </c>
      <c r="Q130" s="595">
        <v>1717</v>
      </c>
      <c r="R130" s="527">
        <v>1.21</v>
      </c>
      <c r="S130" s="529">
        <v>1717</v>
      </c>
      <c r="T130" s="527">
        <v>1.21</v>
      </c>
      <c r="U130" s="1241">
        <v>0</v>
      </c>
    </row>
    <row r="131" spans="3:23">
      <c r="J131" s="556" t="s">
        <v>644</v>
      </c>
      <c r="K131" s="557"/>
      <c r="L131" s="569">
        <v>1028</v>
      </c>
      <c r="M131" s="558">
        <v>364</v>
      </c>
      <c r="N131" s="598">
        <v>1</v>
      </c>
      <c r="O131" s="557">
        <v>32</v>
      </c>
      <c r="P131" s="559">
        <v>8.7900000000000006E-2</v>
      </c>
      <c r="Q131" s="599">
        <v>1470</v>
      </c>
      <c r="R131" s="528">
        <v>1.43</v>
      </c>
      <c r="S131" s="531">
        <v>1470</v>
      </c>
      <c r="T131" s="528">
        <v>1.43</v>
      </c>
      <c r="U131" s="600">
        <v>0</v>
      </c>
    </row>
    <row r="132" spans="3:23">
      <c r="J132" s="534"/>
      <c r="K132" s="534"/>
      <c r="L132" s="534"/>
      <c r="M132" s="535"/>
      <c r="N132" s="536"/>
      <c r="O132" s="534"/>
      <c r="P132" s="534"/>
      <c r="Q132" s="535"/>
      <c r="R132" s="527"/>
      <c r="T132" s="527"/>
    </row>
    <row r="133" spans="3:23">
      <c r="J133" s="534"/>
      <c r="K133" s="534"/>
      <c r="L133" s="534"/>
      <c r="M133" s="535"/>
      <c r="N133" s="536"/>
      <c r="O133" s="534"/>
      <c r="P133" s="534"/>
      <c r="Q133" s="535"/>
      <c r="T133" s="1235">
        <f>SUMPRODUCT(M120:M126,T120:T126)/SUM(M120:M126)</f>
        <v>1.4563182412693076</v>
      </c>
    </row>
    <row r="134" spans="3:23">
      <c r="J134" s="534"/>
      <c r="K134" s="534"/>
      <c r="L134" s="534"/>
      <c r="M134" s="535"/>
      <c r="N134" s="536"/>
      <c r="O134" s="534"/>
      <c r="P134" s="534"/>
      <c r="Q134" s="535"/>
    </row>
    <row r="135" spans="3:23" ht="15.75">
      <c r="C135" s="574"/>
      <c r="J135" s="534"/>
      <c r="K135" s="534"/>
      <c r="L135" s="534"/>
      <c r="M135" s="535"/>
      <c r="N135" s="536"/>
      <c r="O135" s="534"/>
      <c r="P135" s="534"/>
      <c r="Q135" s="535"/>
    </row>
    <row r="136" spans="3:23">
      <c r="J136" s="534"/>
      <c r="K136" s="534"/>
      <c r="L136" s="534"/>
      <c r="M136" s="535"/>
      <c r="N136" s="536"/>
      <c r="O136" s="534"/>
      <c r="P136" s="534"/>
      <c r="Q136" s="535"/>
    </row>
    <row r="137" spans="3:23">
      <c r="J137" s="534"/>
      <c r="K137" s="534"/>
      <c r="L137" s="534"/>
      <c r="M137" s="535"/>
      <c r="N137" s="536"/>
      <c r="O137" s="534"/>
      <c r="P137" s="534"/>
      <c r="Q137" s="535"/>
    </row>
    <row r="138" spans="3:23">
      <c r="J138" s="534"/>
      <c r="K138" s="534"/>
      <c r="L138" s="534"/>
      <c r="M138" s="535"/>
      <c r="N138" s="536"/>
      <c r="O138" s="534"/>
      <c r="P138" s="534"/>
      <c r="Q138" s="535"/>
    </row>
    <row r="139" spans="3:23" ht="15.75">
      <c r="C139" s="485" t="s">
        <v>669</v>
      </c>
    </row>
    <row r="140" spans="3:23" ht="18.75">
      <c r="J140" s="478" t="str">
        <f>C10</f>
        <v xml:space="preserve">Savoy Apartments </v>
      </c>
      <c r="K140" s="478"/>
      <c r="L140" s="478"/>
      <c r="M140" s="478"/>
      <c r="N140" s="478"/>
      <c r="O140" s="478"/>
      <c r="P140" s="478"/>
      <c r="Q140" s="478"/>
      <c r="R140" s="478"/>
      <c r="S140" s="478"/>
      <c r="T140" s="478"/>
      <c r="U140" s="478"/>
      <c r="V140" s="601"/>
      <c r="W140" s="601"/>
    </row>
    <row r="141" spans="3:23" ht="18.75">
      <c r="J141" s="487" t="s">
        <v>670</v>
      </c>
      <c r="K141" s="478"/>
      <c r="L141" s="478"/>
      <c r="M141" s="478"/>
      <c r="N141" s="478"/>
      <c r="O141" s="478"/>
      <c r="P141" s="478"/>
      <c r="Q141" s="478"/>
      <c r="R141" s="478"/>
      <c r="S141" s="478"/>
      <c r="T141" s="478"/>
      <c r="U141" s="478"/>
      <c r="V141" s="601"/>
      <c r="W141" s="601"/>
    </row>
    <row r="142" spans="3:23">
      <c r="J142" s="611" t="s">
        <v>627</v>
      </c>
      <c r="K142" s="611" t="s">
        <v>628</v>
      </c>
      <c r="L142" s="611" t="s">
        <v>539</v>
      </c>
      <c r="M142" s="611" t="s">
        <v>629</v>
      </c>
      <c r="N142" s="611" t="s">
        <v>630</v>
      </c>
      <c r="O142" s="611" t="s">
        <v>631</v>
      </c>
      <c r="P142" s="612" t="s">
        <v>632</v>
      </c>
      <c r="Q142" s="611" t="s">
        <v>633</v>
      </c>
      <c r="R142" s="611" t="s">
        <v>634</v>
      </c>
      <c r="S142" s="611" t="s">
        <v>635</v>
      </c>
      <c r="T142" s="611" t="s">
        <v>636</v>
      </c>
      <c r="U142" s="613" t="s">
        <v>637</v>
      </c>
      <c r="V142" s="533"/>
      <c r="W142" s="533"/>
    </row>
    <row r="143" spans="3:23">
      <c r="J143" s="614" t="s">
        <v>638</v>
      </c>
      <c r="K143" s="606">
        <v>1.5</v>
      </c>
      <c r="L143" s="606">
        <v>925</v>
      </c>
      <c r="M143" s="621">
        <v>77</v>
      </c>
      <c r="N143" s="615">
        <v>0.30299999999999999</v>
      </c>
      <c r="O143" s="606">
        <v>10</v>
      </c>
      <c r="P143" s="603">
        <v>0.12989999999999999</v>
      </c>
      <c r="Q143" s="619">
        <v>1245</v>
      </c>
      <c r="R143" s="623">
        <v>1.35</v>
      </c>
      <c r="S143" s="619">
        <v>1245</v>
      </c>
      <c r="T143" s="623">
        <f t="shared" ref="T143:T147" si="5">S143/L143</f>
        <v>1.345945945945946</v>
      </c>
      <c r="U143" s="602">
        <v>0</v>
      </c>
      <c r="V143" s="534"/>
      <c r="W143" s="534"/>
    </row>
    <row r="144" spans="3:23">
      <c r="J144" s="547" t="s">
        <v>639</v>
      </c>
      <c r="K144" s="534">
        <v>2</v>
      </c>
      <c r="L144" s="541">
        <v>1312</v>
      </c>
      <c r="M144" s="578">
        <v>22</v>
      </c>
      <c r="N144" s="536">
        <v>8.6999999999999994E-2</v>
      </c>
      <c r="O144" s="534">
        <v>2</v>
      </c>
      <c r="P144" s="540">
        <v>9.0899999999999995E-2</v>
      </c>
      <c r="Q144" s="576">
        <v>1690</v>
      </c>
      <c r="R144" s="624">
        <v>1.29</v>
      </c>
      <c r="S144" s="576">
        <v>1690</v>
      </c>
      <c r="T144" s="624">
        <f t="shared" si="5"/>
        <v>1.288109756097561</v>
      </c>
      <c r="U144" s="605">
        <v>0</v>
      </c>
      <c r="V144" s="534"/>
      <c r="W144" s="534"/>
    </row>
    <row r="145" spans="3:23">
      <c r="J145" s="547" t="s">
        <v>639</v>
      </c>
      <c r="K145" s="534">
        <v>2.5</v>
      </c>
      <c r="L145" s="541">
        <v>1164</v>
      </c>
      <c r="M145" s="578">
        <v>38</v>
      </c>
      <c r="N145" s="536">
        <v>0.15</v>
      </c>
      <c r="O145" s="534">
        <v>5</v>
      </c>
      <c r="P145" s="540">
        <v>0.13159999999999999</v>
      </c>
      <c r="Q145" s="576">
        <v>1675</v>
      </c>
      <c r="R145" s="624">
        <v>1.44</v>
      </c>
      <c r="S145" s="576">
        <v>1675</v>
      </c>
      <c r="T145" s="624">
        <f t="shared" si="5"/>
        <v>1.4390034364261168</v>
      </c>
      <c r="U145" s="605">
        <v>0</v>
      </c>
      <c r="V145" s="534"/>
      <c r="W145" s="534"/>
    </row>
    <row r="146" spans="3:23">
      <c r="J146" s="547" t="s">
        <v>639</v>
      </c>
      <c r="K146" s="534">
        <v>2.5</v>
      </c>
      <c r="L146" s="541">
        <v>1327</v>
      </c>
      <c r="M146" s="578">
        <v>78</v>
      </c>
      <c r="N146" s="536">
        <v>0.307</v>
      </c>
      <c r="O146" s="534">
        <v>5</v>
      </c>
      <c r="P146" s="540">
        <v>6.4100000000000004E-2</v>
      </c>
      <c r="Q146" s="576">
        <v>1790</v>
      </c>
      <c r="R146" s="624">
        <v>1.35</v>
      </c>
      <c r="S146" s="576">
        <v>1790</v>
      </c>
      <c r="T146" s="624">
        <f t="shared" si="5"/>
        <v>1.3489073097211757</v>
      </c>
      <c r="U146" s="605">
        <v>0</v>
      </c>
      <c r="V146" s="534"/>
      <c r="W146" s="534"/>
    </row>
    <row r="147" spans="3:23">
      <c r="J147" s="548" t="s">
        <v>640</v>
      </c>
      <c r="K147" s="549">
        <v>3</v>
      </c>
      <c r="L147" s="550">
        <v>1631</v>
      </c>
      <c r="M147" s="585">
        <v>39</v>
      </c>
      <c r="N147" s="573">
        <v>0.154</v>
      </c>
      <c r="O147" s="549">
        <v>3</v>
      </c>
      <c r="P147" s="553">
        <v>7.6899999999999996E-2</v>
      </c>
      <c r="Q147" s="596">
        <v>2175</v>
      </c>
      <c r="R147" s="625">
        <v>1.33</v>
      </c>
      <c r="S147" s="596">
        <v>2175</v>
      </c>
      <c r="T147" s="625">
        <f t="shared" si="5"/>
        <v>1.3335377069282648</v>
      </c>
      <c r="U147" s="616">
        <v>0</v>
      </c>
      <c r="V147" s="534"/>
      <c r="W147" s="534"/>
    </row>
    <row r="148" spans="3:23">
      <c r="J148" s="547"/>
      <c r="K148" s="534"/>
      <c r="L148" s="534"/>
      <c r="M148" s="578"/>
      <c r="N148" s="536"/>
      <c r="O148" s="534"/>
      <c r="P148" s="534"/>
      <c r="Q148" s="576"/>
      <c r="R148" s="624"/>
      <c r="S148" s="576"/>
      <c r="T148" s="624"/>
      <c r="U148" s="604"/>
      <c r="V148" s="534"/>
      <c r="W148" s="534"/>
    </row>
    <row r="149" spans="3:23">
      <c r="J149" s="547" t="s">
        <v>641</v>
      </c>
      <c r="K149" s="534"/>
      <c r="L149" s="534">
        <v>925</v>
      </c>
      <c r="M149" s="578">
        <v>77</v>
      </c>
      <c r="N149" s="536">
        <v>0.30299999999999999</v>
      </c>
      <c r="O149" s="534">
        <v>10</v>
      </c>
      <c r="P149" s="540">
        <v>0.12989999999999999</v>
      </c>
      <c r="Q149" s="576">
        <v>1245</v>
      </c>
      <c r="R149" s="624">
        <v>1.35</v>
      </c>
      <c r="S149" s="576">
        <v>1245</v>
      </c>
      <c r="T149" s="624">
        <v>1.35</v>
      </c>
      <c r="U149" s="605">
        <v>0</v>
      </c>
      <c r="V149" s="534"/>
      <c r="W149" s="534"/>
    </row>
    <row r="150" spans="3:23">
      <c r="J150" s="547" t="s">
        <v>642</v>
      </c>
      <c r="K150" s="534"/>
      <c r="L150" s="541">
        <v>1280</v>
      </c>
      <c r="M150" s="578">
        <v>138</v>
      </c>
      <c r="N150" s="536">
        <v>0.54300000000000004</v>
      </c>
      <c r="O150" s="534">
        <v>12</v>
      </c>
      <c r="P150" s="540">
        <v>8.6999999999999994E-2</v>
      </c>
      <c r="Q150" s="576">
        <v>1742</v>
      </c>
      <c r="R150" s="624">
        <v>1.36</v>
      </c>
      <c r="S150" s="576">
        <v>1742</v>
      </c>
      <c r="T150" s="624">
        <v>1.36</v>
      </c>
      <c r="U150" s="605">
        <v>0</v>
      </c>
      <c r="V150" s="534"/>
      <c r="W150" s="534"/>
    </row>
    <row r="151" spans="3:23">
      <c r="J151" s="547" t="s">
        <v>643</v>
      </c>
      <c r="K151" s="534"/>
      <c r="L151" s="541">
        <v>1631</v>
      </c>
      <c r="M151" s="578">
        <v>39</v>
      </c>
      <c r="N151" s="536">
        <v>0.154</v>
      </c>
      <c r="O151" s="534">
        <v>3</v>
      </c>
      <c r="P151" s="540">
        <v>7.6899999999999996E-2</v>
      </c>
      <c r="Q151" s="576">
        <v>2175</v>
      </c>
      <c r="R151" s="624">
        <v>1.33</v>
      </c>
      <c r="S151" s="576">
        <v>2175</v>
      </c>
      <c r="T151" s="624">
        <v>1.33</v>
      </c>
      <c r="U151" s="605">
        <v>0</v>
      </c>
      <c r="V151" s="534"/>
      <c r="W151" s="534"/>
    </row>
    <row r="152" spans="3:23">
      <c r="J152" s="556" t="s">
        <v>644</v>
      </c>
      <c r="K152" s="557"/>
      <c r="L152" s="569">
        <v>1226</v>
      </c>
      <c r="M152" s="622">
        <v>254</v>
      </c>
      <c r="N152" s="598">
        <v>1</v>
      </c>
      <c r="O152" s="557">
        <v>25</v>
      </c>
      <c r="P152" s="560">
        <v>9.8400000000000001E-2</v>
      </c>
      <c r="Q152" s="620">
        <v>1658</v>
      </c>
      <c r="R152" s="626">
        <v>1.35</v>
      </c>
      <c r="S152" s="620">
        <v>1658</v>
      </c>
      <c r="T152" s="626">
        <v>1.35</v>
      </c>
      <c r="U152" s="617">
        <v>0</v>
      </c>
      <c r="V152" s="534"/>
      <c r="W152" s="534"/>
    </row>
    <row r="153" spans="3:23">
      <c r="J153" s="534"/>
      <c r="K153" s="534"/>
      <c r="L153" s="534"/>
      <c r="M153" s="535"/>
      <c r="N153" s="536"/>
      <c r="O153" s="534"/>
      <c r="P153" s="534"/>
      <c r="Q153" s="534"/>
      <c r="R153" s="534"/>
      <c r="S153" s="534"/>
      <c r="T153" s="534"/>
      <c r="U153" s="534"/>
      <c r="V153" s="534"/>
      <c r="W153" s="534"/>
    </row>
    <row r="154" spans="3:23">
      <c r="J154" s="534"/>
      <c r="K154" s="534"/>
      <c r="L154" s="534"/>
      <c r="M154" s="535"/>
      <c r="N154" s="536"/>
      <c r="O154" s="534"/>
      <c r="P154" s="534"/>
      <c r="Q154" s="534"/>
      <c r="R154" s="534"/>
      <c r="S154" s="534"/>
      <c r="T154" s="1235">
        <f>SUMPRODUCT(M143:M147,T143:T147)/SUM(M143:M147)</f>
        <v>1.3538626920654746</v>
      </c>
      <c r="U154" s="534"/>
      <c r="V154" s="534"/>
      <c r="W154" s="534"/>
    </row>
    <row r="155" spans="3:23">
      <c r="J155" s="534"/>
      <c r="K155" s="607"/>
      <c r="L155" s="534"/>
      <c r="M155" s="535"/>
      <c r="N155" s="536"/>
      <c r="O155" s="534"/>
      <c r="P155" s="534"/>
      <c r="Q155" s="534"/>
      <c r="R155" s="534"/>
      <c r="S155" s="534"/>
      <c r="T155" s="534"/>
      <c r="U155" s="534"/>
      <c r="V155" s="534"/>
      <c r="W155" s="534"/>
    </row>
    <row r="156" spans="3:23">
      <c r="J156" s="534"/>
      <c r="K156" s="607"/>
      <c r="L156" s="534"/>
      <c r="M156" s="535"/>
      <c r="N156" s="536"/>
      <c r="O156" s="534"/>
      <c r="P156" s="534"/>
      <c r="Q156" s="534"/>
      <c r="R156" s="534"/>
      <c r="S156" s="534"/>
      <c r="T156" s="534"/>
      <c r="U156" s="534"/>
      <c r="V156" s="534"/>
      <c r="W156" s="534"/>
    </row>
    <row r="157" spans="3:23" ht="15.75">
      <c r="C157" s="485"/>
      <c r="J157" s="534"/>
      <c r="K157" s="607"/>
      <c r="L157" s="534"/>
      <c r="M157" s="535"/>
      <c r="N157" s="536"/>
      <c r="O157" s="534"/>
      <c r="P157" s="534"/>
      <c r="Q157" s="534"/>
      <c r="R157" s="534"/>
      <c r="S157" s="534"/>
      <c r="T157" s="534"/>
      <c r="U157" s="534"/>
      <c r="V157" s="534"/>
      <c r="W157" s="534"/>
    </row>
    <row r="158" spans="3:23">
      <c r="J158" s="534"/>
      <c r="K158" s="534"/>
      <c r="L158" s="534"/>
      <c r="M158" s="535"/>
      <c r="N158" s="536"/>
      <c r="O158" s="534"/>
      <c r="P158" s="534"/>
      <c r="Q158" s="534"/>
      <c r="R158" s="534"/>
      <c r="S158" s="534"/>
      <c r="T158" s="534"/>
      <c r="U158" s="534"/>
      <c r="V158" s="534"/>
      <c r="W158" s="534"/>
    </row>
    <row r="159" spans="3:23">
      <c r="J159" s="534"/>
      <c r="K159" s="534"/>
      <c r="L159" s="534"/>
      <c r="M159" s="535"/>
      <c r="N159" s="536"/>
      <c r="O159" s="534"/>
      <c r="P159" s="534"/>
      <c r="Q159" s="534"/>
      <c r="R159" s="534"/>
      <c r="S159" s="534"/>
      <c r="T159" s="534"/>
      <c r="U159" s="534"/>
      <c r="V159" s="534"/>
      <c r="W159" s="534"/>
    </row>
    <row r="160" spans="3:23">
      <c r="J160" s="534"/>
      <c r="K160" s="534"/>
      <c r="L160" s="534"/>
      <c r="M160" s="535"/>
      <c r="N160" s="536"/>
      <c r="O160" s="534"/>
      <c r="P160" s="534"/>
      <c r="Q160" s="534"/>
      <c r="R160" s="534"/>
      <c r="S160" s="534"/>
      <c r="T160" s="534"/>
      <c r="U160" s="534"/>
      <c r="V160" s="534"/>
      <c r="W160" s="534"/>
    </row>
    <row r="161" spans="3:23">
      <c r="J161" s="534"/>
      <c r="K161" s="534"/>
      <c r="L161" s="534"/>
      <c r="M161" s="535"/>
      <c r="N161" s="536"/>
      <c r="O161" s="534"/>
      <c r="P161" s="534"/>
      <c r="Q161" s="534"/>
      <c r="R161" s="534"/>
      <c r="S161" s="534"/>
      <c r="T161" s="534"/>
      <c r="U161" s="534"/>
      <c r="V161" s="534"/>
      <c r="W161" s="534"/>
    </row>
    <row r="162" spans="3:23">
      <c r="J162" s="534"/>
      <c r="K162" s="534"/>
      <c r="L162" s="534"/>
      <c r="M162" s="535"/>
      <c r="N162" s="536"/>
      <c r="O162" s="534"/>
      <c r="P162" s="534"/>
      <c r="Q162" s="534"/>
      <c r="R162" s="534"/>
      <c r="S162" s="534"/>
      <c r="T162" s="534"/>
      <c r="U162" s="534"/>
      <c r="V162" s="534"/>
      <c r="W162" s="534"/>
    </row>
    <row r="163" spans="3:23">
      <c r="J163" s="534"/>
      <c r="K163" s="534"/>
      <c r="L163" s="534"/>
      <c r="M163" s="535"/>
      <c r="N163" s="536"/>
      <c r="O163" s="534"/>
      <c r="P163" s="534"/>
      <c r="Q163" s="534"/>
      <c r="R163" s="534"/>
      <c r="S163" s="534"/>
      <c r="T163" s="534"/>
      <c r="U163" s="534"/>
      <c r="V163" s="534"/>
      <c r="W163" s="534"/>
    </row>
    <row r="164" spans="3:23" ht="15.75">
      <c r="C164" s="485" t="s">
        <v>671</v>
      </c>
    </row>
    <row r="165" spans="3:23" ht="18.75">
      <c r="J165" s="478" t="str">
        <f>C11</f>
        <v>Corbin Crossing</v>
      </c>
      <c r="K165" s="478"/>
      <c r="L165" s="478"/>
      <c r="M165" s="478"/>
      <c r="N165" s="478"/>
      <c r="O165" s="478"/>
      <c r="P165" s="478"/>
      <c r="Q165" s="478"/>
      <c r="R165" s="478"/>
      <c r="S165" s="478"/>
      <c r="T165" s="478"/>
      <c r="U165" s="478"/>
    </row>
    <row r="166" spans="3:23" ht="18.75">
      <c r="J166" s="487" t="s">
        <v>672</v>
      </c>
      <c r="K166" s="478"/>
      <c r="L166" s="478"/>
      <c r="M166" s="478"/>
      <c r="N166" s="478"/>
      <c r="O166" s="478"/>
      <c r="P166" s="478"/>
      <c r="Q166" s="478"/>
      <c r="R166" s="478"/>
      <c r="S166" s="478"/>
      <c r="T166" s="478"/>
      <c r="U166" s="478"/>
    </row>
    <row r="167" spans="3:23">
      <c r="J167" s="611" t="s">
        <v>627</v>
      </c>
      <c r="K167" s="611" t="s">
        <v>628</v>
      </c>
      <c r="L167" s="611" t="s">
        <v>539</v>
      </c>
      <c r="M167" s="611" t="s">
        <v>629</v>
      </c>
      <c r="N167" s="611" t="s">
        <v>630</v>
      </c>
      <c r="O167" s="611" t="s">
        <v>631</v>
      </c>
      <c r="P167" s="612" t="s">
        <v>632</v>
      </c>
      <c r="Q167" s="611" t="s">
        <v>633</v>
      </c>
      <c r="R167" s="611" t="s">
        <v>634</v>
      </c>
      <c r="S167" s="611" t="s">
        <v>635</v>
      </c>
      <c r="T167" s="611" t="s">
        <v>636</v>
      </c>
      <c r="U167" s="611" t="s">
        <v>637</v>
      </c>
    </row>
    <row r="168" spans="3:23">
      <c r="J168" s="547" t="s">
        <v>638</v>
      </c>
      <c r="K168" s="534">
        <v>1</v>
      </c>
      <c r="L168" s="534">
        <v>894</v>
      </c>
      <c r="M168" s="535">
        <v>103</v>
      </c>
      <c r="N168" s="542">
        <v>0.34599999999999997</v>
      </c>
      <c r="O168" s="534">
        <v>5</v>
      </c>
      <c r="P168" s="542">
        <v>4.8500000000000001E-2</v>
      </c>
      <c r="Q168" s="576">
        <v>1562</v>
      </c>
      <c r="R168" s="567">
        <v>1.75</v>
      </c>
      <c r="S168" s="576">
        <v>1556</v>
      </c>
      <c r="T168" s="567">
        <f t="shared" ref="T168:T175" si="6">S168/L168</f>
        <v>1.7404921700223714</v>
      </c>
      <c r="U168" s="631">
        <v>4.0000000000000001E-3</v>
      </c>
    </row>
    <row r="169" spans="3:23">
      <c r="J169" s="547" t="s">
        <v>638</v>
      </c>
      <c r="K169" s="534">
        <v>1</v>
      </c>
      <c r="L169" s="534">
        <v>958</v>
      </c>
      <c r="M169" s="535">
        <v>30</v>
      </c>
      <c r="N169" s="542">
        <v>0.10100000000000001</v>
      </c>
      <c r="O169" s="534">
        <v>5</v>
      </c>
      <c r="P169" s="542">
        <v>0.16669999999999999</v>
      </c>
      <c r="Q169" s="576">
        <v>1552</v>
      </c>
      <c r="R169" s="567">
        <v>1.62</v>
      </c>
      <c r="S169" s="576">
        <v>1546</v>
      </c>
      <c r="T169" s="567">
        <f t="shared" si="6"/>
        <v>1.6137787056367432</v>
      </c>
      <c r="U169" s="631">
        <v>4.0000000000000001E-3</v>
      </c>
    </row>
    <row r="170" spans="3:23">
      <c r="J170" s="547" t="s">
        <v>638</v>
      </c>
      <c r="K170" s="534">
        <v>1</v>
      </c>
      <c r="L170" s="534">
        <v>1062</v>
      </c>
      <c r="M170" s="535">
        <v>6</v>
      </c>
      <c r="N170" s="542">
        <v>0.02</v>
      </c>
      <c r="O170" s="534">
        <v>1</v>
      </c>
      <c r="P170" s="542">
        <v>0.16669999999999999</v>
      </c>
      <c r="Q170" s="576">
        <v>1867</v>
      </c>
      <c r="R170" s="567">
        <v>1.76</v>
      </c>
      <c r="S170" s="576">
        <v>1860</v>
      </c>
      <c r="T170" s="567">
        <f t="shared" si="6"/>
        <v>1.7514124293785311</v>
      </c>
      <c r="U170" s="631">
        <v>4.0000000000000001E-3</v>
      </c>
    </row>
    <row r="171" spans="3:23">
      <c r="J171" s="547" t="s">
        <v>638</v>
      </c>
      <c r="K171" s="534">
        <v>1.5</v>
      </c>
      <c r="L171" s="534">
        <v>987</v>
      </c>
      <c r="M171" s="535">
        <v>6</v>
      </c>
      <c r="N171" s="542">
        <v>0.02</v>
      </c>
      <c r="O171" s="534">
        <v>0</v>
      </c>
      <c r="P171" s="542">
        <v>0</v>
      </c>
      <c r="Q171" s="576">
        <v>1837</v>
      </c>
      <c r="R171" s="567">
        <v>1.86</v>
      </c>
      <c r="S171" s="576">
        <v>1830</v>
      </c>
      <c r="T171" s="567">
        <f t="shared" si="6"/>
        <v>1.8541033434650456</v>
      </c>
      <c r="U171" s="631">
        <v>4.0000000000000001E-3</v>
      </c>
    </row>
    <row r="172" spans="3:23">
      <c r="J172" s="547" t="s">
        <v>639</v>
      </c>
      <c r="K172" s="534">
        <v>2</v>
      </c>
      <c r="L172" s="534">
        <v>1169</v>
      </c>
      <c r="M172" s="535">
        <v>73</v>
      </c>
      <c r="N172" s="542">
        <v>0.245</v>
      </c>
      <c r="O172" s="534">
        <v>3</v>
      </c>
      <c r="P172" s="542">
        <v>4.1099999999999998E-2</v>
      </c>
      <c r="Q172" s="576">
        <v>1967</v>
      </c>
      <c r="R172" s="567">
        <v>1.68</v>
      </c>
      <c r="S172" s="576">
        <v>1959</v>
      </c>
      <c r="T172" s="567">
        <f t="shared" si="6"/>
        <v>1.6757912745936698</v>
      </c>
      <c r="U172" s="631">
        <v>4.0000000000000001E-3</v>
      </c>
    </row>
    <row r="173" spans="3:23">
      <c r="J173" s="547" t="s">
        <v>639</v>
      </c>
      <c r="K173" s="534">
        <v>2</v>
      </c>
      <c r="L173" s="534">
        <v>1204</v>
      </c>
      <c r="M173" s="535">
        <v>22</v>
      </c>
      <c r="N173" s="542">
        <v>7.3999999999999996E-2</v>
      </c>
      <c r="O173" s="534">
        <v>1</v>
      </c>
      <c r="P173" s="542">
        <v>4.5499999999999999E-2</v>
      </c>
      <c r="Q173" s="576">
        <v>1937</v>
      </c>
      <c r="R173" s="567">
        <v>1.61</v>
      </c>
      <c r="S173" s="576">
        <v>1929</v>
      </c>
      <c r="T173" s="567">
        <f t="shared" si="6"/>
        <v>1.6021594684385383</v>
      </c>
      <c r="U173" s="631">
        <v>4.0000000000000001E-3</v>
      </c>
    </row>
    <row r="174" spans="3:23">
      <c r="J174" s="547" t="s">
        <v>639</v>
      </c>
      <c r="K174" s="534">
        <v>2</v>
      </c>
      <c r="L174" s="534">
        <v>1238</v>
      </c>
      <c r="M174" s="535">
        <v>42</v>
      </c>
      <c r="N174" s="542">
        <v>0.14099999999999999</v>
      </c>
      <c r="O174" s="534">
        <v>2</v>
      </c>
      <c r="P174" s="542">
        <v>4.7600000000000003E-2</v>
      </c>
      <c r="Q174" s="576">
        <v>1927</v>
      </c>
      <c r="R174" s="567">
        <v>1.56</v>
      </c>
      <c r="S174" s="576">
        <v>1919</v>
      </c>
      <c r="T174" s="567">
        <f t="shared" si="6"/>
        <v>1.5500807754442649</v>
      </c>
      <c r="U174" s="631">
        <v>4.0000000000000001E-3</v>
      </c>
    </row>
    <row r="175" spans="3:23">
      <c r="J175" s="548" t="s">
        <v>640</v>
      </c>
      <c r="K175" s="549">
        <v>2</v>
      </c>
      <c r="L175" s="549">
        <v>1450</v>
      </c>
      <c r="M175" s="551">
        <v>16</v>
      </c>
      <c r="N175" s="552">
        <v>5.3999999999999999E-2</v>
      </c>
      <c r="O175" s="549">
        <v>0</v>
      </c>
      <c r="P175" s="552">
        <v>0</v>
      </c>
      <c r="Q175" s="596">
        <v>2232</v>
      </c>
      <c r="R175" s="568">
        <v>1.54</v>
      </c>
      <c r="S175" s="596">
        <v>2223</v>
      </c>
      <c r="T175" s="568">
        <f t="shared" si="6"/>
        <v>1.5331034482758621</v>
      </c>
      <c r="U175" s="632">
        <v>4.0000000000000001E-3</v>
      </c>
    </row>
    <row r="176" spans="3:23">
      <c r="J176" s="547"/>
      <c r="K176" s="534"/>
      <c r="L176" s="534"/>
      <c r="M176" s="535"/>
      <c r="N176" s="542"/>
      <c r="O176" s="534"/>
      <c r="P176" s="542"/>
      <c r="Q176" s="576"/>
      <c r="R176" s="567"/>
      <c r="S176" s="576"/>
      <c r="T176" s="567"/>
      <c r="U176" s="631"/>
    </row>
    <row r="177" spans="3:21">
      <c r="J177" s="547" t="s">
        <v>641</v>
      </c>
      <c r="K177" s="534"/>
      <c r="L177" s="534">
        <v>918</v>
      </c>
      <c r="M177" s="535">
        <v>145</v>
      </c>
      <c r="N177" s="542">
        <v>0.48699999999999999</v>
      </c>
      <c r="O177" s="534">
        <v>11</v>
      </c>
      <c r="P177" s="542">
        <v>7.5899999999999995E-2</v>
      </c>
      <c r="Q177" s="576">
        <v>1584</v>
      </c>
      <c r="R177" s="567">
        <v>1.73</v>
      </c>
      <c r="S177" s="576">
        <v>1578</v>
      </c>
      <c r="T177" s="567">
        <v>1.72</v>
      </c>
      <c r="U177" s="631">
        <v>4.0000000000000001E-3</v>
      </c>
    </row>
    <row r="178" spans="3:21">
      <c r="J178" s="547" t="s">
        <v>642</v>
      </c>
      <c r="K178" s="534"/>
      <c r="L178" s="534">
        <v>1196</v>
      </c>
      <c r="M178" s="535">
        <v>137</v>
      </c>
      <c r="N178" s="542">
        <v>0.46</v>
      </c>
      <c r="O178" s="534">
        <v>6</v>
      </c>
      <c r="P178" s="542">
        <v>4.3799999999999999E-2</v>
      </c>
      <c r="Q178" s="576">
        <v>1950</v>
      </c>
      <c r="R178" s="567">
        <v>1.63</v>
      </c>
      <c r="S178" s="576">
        <v>1942</v>
      </c>
      <c r="T178" s="567">
        <v>1.62</v>
      </c>
      <c r="U178" s="631">
        <v>4.0000000000000001E-3</v>
      </c>
    </row>
    <row r="179" spans="3:21">
      <c r="J179" s="547" t="s">
        <v>643</v>
      </c>
      <c r="K179" s="534"/>
      <c r="L179" s="534">
        <v>1450</v>
      </c>
      <c r="M179" s="535">
        <v>16</v>
      </c>
      <c r="N179" s="542">
        <v>5.3999999999999999E-2</v>
      </c>
      <c r="O179" s="534">
        <v>0</v>
      </c>
      <c r="P179" s="542">
        <v>0</v>
      </c>
      <c r="Q179" s="576">
        <v>2232</v>
      </c>
      <c r="R179" s="567">
        <v>1.54</v>
      </c>
      <c r="S179" s="576">
        <v>2223</v>
      </c>
      <c r="T179" s="567">
        <v>1.53</v>
      </c>
      <c r="U179" s="631">
        <v>4.0000000000000001E-3</v>
      </c>
    </row>
    <row r="180" spans="3:21">
      <c r="J180" s="556" t="s">
        <v>644</v>
      </c>
      <c r="K180" s="557"/>
      <c r="L180" s="557">
        <v>1074</v>
      </c>
      <c r="M180" s="558">
        <v>298</v>
      </c>
      <c r="N180" s="559">
        <v>1</v>
      </c>
      <c r="O180" s="557">
        <v>17</v>
      </c>
      <c r="P180" s="559">
        <v>5.7000000000000002E-2</v>
      </c>
      <c r="Q180" s="620">
        <v>1787</v>
      </c>
      <c r="R180" s="618">
        <v>1.66</v>
      </c>
      <c r="S180" s="620">
        <v>1780</v>
      </c>
      <c r="T180" s="618">
        <v>1.66</v>
      </c>
      <c r="U180" s="634">
        <v>4.0000000000000001E-3</v>
      </c>
    </row>
    <row r="181" spans="3:21">
      <c r="J181" s="608"/>
      <c r="K181" s="534"/>
      <c r="L181" s="534"/>
      <c r="M181" s="534"/>
      <c r="N181" s="534"/>
      <c r="O181" s="534"/>
      <c r="P181" s="534"/>
      <c r="Q181" s="534"/>
      <c r="R181" s="534"/>
      <c r="S181" s="534"/>
      <c r="T181" s="534"/>
      <c r="U181" s="633"/>
    </row>
    <row r="182" spans="3:21">
      <c r="J182" s="608"/>
      <c r="K182" s="534"/>
      <c r="L182" s="534"/>
      <c r="M182" s="534"/>
      <c r="N182" s="534"/>
      <c r="O182" s="542"/>
      <c r="P182" s="534"/>
      <c r="Q182" s="534"/>
      <c r="R182" s="534"/>
      <c r="S182" s="534"/>
      <c r="T182" s="1235">
        <f>SUMPRODUCT(M168:M175,T168:T175)/SUM(M168:M175)</f>
        <v>1.6662096255386802</v>
      </c>
      <c r="U182" s="633"/>
    </row>
    <row r="183" spans="3:21">
      <c r="J183" s="608"/>
      <c r="K183" s="534"/>
      <c r="L183" s="534"/>
      <c r="M183" s="534"/>
      <c r="N183" s="534"/>
      <c r="O183" s="534"/>
      <c r="P183" s="534"/>
      <c r="Q183" s="534"/>
      <c r="R183" s="534"/>
      <c r="S183" s="534"/>
      <c r="T183" s="534"/>
      <c r="U183" s="534"/>
    </row>
    <row r="184" spans="3:21">
      <c r="J184" s="608"/>
      <c r="K184" s="534"/>
      <c r="L184" s="534"/>
      <c r="M184" s="534"/>
      <c r="N184" s="534"/>
      <c r="O184" s="534"/>
      <c r="P184" s="534"/>
      <c r="Q184" s="534"/>
      <c r="R184" s="534"/>
      <c r="S184" s="534"/>
      <c r="T184" s="534"/>
      <c r="U184" s="534"/>
    </row>
    <row r="185" spans="3:21">
      <c r="J185" s="533"/>
      <c r="K185" s="538"/>
      <c r="L185" s="533"/>
      <c r="M185" s="539"/>
      <c r="N185" s="609"/>
      <c r="O185" s="610"/>
      <c r="P185" s="610"/>
      <c r="Q185" s="610"/>
      <c r="R185" s="610"/>
      <c r="S185" s="610"/>
      <c r="T185" s="610"/>
      <c r="U185" s="610"/>
    </row>
    <row r="187" spans="3:21" ht="15.75">
      <c r="C187" s="485" t="s">
        <v>673</v>
      </c>
    </row>
    <row r="188" spans="3:21" ht="18.75">
      <c r="J188" s="505" t="str">
        <f>C12</f>
        <v>Village at Lionsgate</v>
      </c>
      <c r="K188" s="506"/>
      <c r="L188" s="506"/>
      <c r="M188" s="506"/>
      <c r="N188" s="506"/>
      <c r="O188" s="506"/>
      <c r="P188" s="506"/>
      <c r="Q188" s="506"/>
      <c r="R188" s="506"/>
      <c r="S188" s="506"/>
      <c r="T188" s="506"/>
      <c r="U188" s="581"/>
    </row>
    <row r="189" spans="3:21" ht="18.75">
      <c r="J189" s="509" t="s">
        <v>674</v>
      </c>
      <c r="K189" s="478"/>
      <c r="L189" s="478"/>
      <c r="M189" s="478"/>
      <c r="N189" s="478"/>
      <c r="O189" s="478"/>
      <c r="P189" s="478"/>
      <c r="Q189" s="478"/>
      <c r="R189" s="478"/>
      <c r="S189" s="478"/>
      <c r="T189" s="478"/>
      <c r="U189" s="582"/>
    </row>
    <row r="190" spans="3:21">
      <c r="J190" s="636" t="s">
        <v>627</v>
      </c>
      <c r="K190" s="635" t="s">
        <v>628</v>
      </c>
      <c r="L190" s="643" t="s">
        <v>539</v>
      </c>
      <c r="M190" s="635" t="s">
        <v>629</v>
      </c>
      <c r="N190" s="635" t="s">
        <v>630</v>
      </c>
      <c r="O190" s="635" t="s">
        <v>631</v>
      </c>
      <c r="P190" s="635" t="s">
        <v>632</v>
      </c>
      <c r="Q190" s="635" t="s">
        <v>633</v>
      </c>
      <c r="R190" s="635" t="s">
        <v>634</v>
      </c>
      <c r="S190" s="635" t="s">
        <v>635</v>
      </c>
      <c r="T190" s="635" t="s">
        <v>636</v>
      </c>
      <c r="U190" s="637" t="s">
        <v>637</v>
      </c>
    </row>
    <row r="191" spans="3:21">
      <c r="J191" s="547" t="s">
        <v>638</v>
      </c>
      <c r="K191" s="534">
        <v>1</v>
      </c>
      <c r="L191" s="607">
        <v>640</v>
      </c>
      <c r="M191" s="578">
        <v>8</v>
      </c>
      <c r="N191" s="542">
        <v>2.1999999999999999E-2</v>
      </c>
      <c r="O191" s="607">
        <v>0</v>
      </c>
      <c r="P191" s="542">
        <v>0</v>
      </c>
      <c r="Q191" s="576">
        <v>1266</v>
      </c>
      <c r="R191" s="639">
        <v>1.98</v>
      </c>
      <c r="S191" s="576">
        <v>1258</v>
      </c>
      <c r="T191" s="639">
        <f t="shared" ref="T191:T199" si="7">S191/L191</f>
        <v>1.965625</v>
      </c>
      <c r="U191" s="644">
        <v>6.0000000000000001E-3</v>
      </c>
    </row>
    <row r="192" spans="3:21">
      <c r="J192" s="547" t="s">
        <v>638</v>
      </c>
      <c r="K192" s="534">
        <v>1</v>
      </c>
      <c r="L192" s="607">
        <v>734</v>
      </c>
      <c r="M192" s="578">
        <v>86</v>
      </c>
      <c r="N192" s="542">
        <v>0.23899999999999999</v>
      </c>
      <c r="O192" s="607">
        <v>8</v>
      </c>
      <c r="P192" s="542">
        <v>9.2999999999999999E-2</v>
      </c>
      <c r="Q192" s="576">
        <v>1286</v>
      </c>
      <c r="R192" s="639">
        <v>1.75</v>
      </c>
      <c r="S192" s="576">
        <v>1278</v>
      </c>
      <c r="T192" s="639">
        <f t="shared" si="7"/>
        <v>1.7411444141689374</v>
      </c>
      <c r="U192" s="644">
        <v>6.0000000000000001E-3</v>
      </c>
    </row>
    <row r="193" spans="10:21">
      <c r="J193" s="547" t="s">
        <v>638</v>
      </c>
      <c r="K193" s="534">
        <v>1</v>
      </c>
      <c r="L193" s="607">
        <v>834</v>
      </c>
      <c r="M193" s="578">
        <v>8</v>
      </c>
      <c r="N193" s="542">
        <v>2.1999999999999999E-2</v>
      </c>
      <c r="O193" s="607">
        <v>2</v>
      </c>
      <c r="P193" s="542">
        <v>0.25</v>
      </c>
      <c r="Q193" s="576">
        <v>1400</v>
      </c>
      <c r="R193" s="639">
        <v>1.68</v>
      </c>
      <c r="S193" s="576">
        <v>1391</v>
      </c>
      <c r="T193" s="639">
        <f t="shared" si="7"/>
        <v>1.6678657074340528</v>
      </c>
      <c r="U193" s="644">
        <v>6.0000000000000001E-3</v>
      </c>
    </row>
    <row r="194" spans="10:21">
      <c r="J194" s="547" t="s">
        <v>638</v>
      </c>
      <c r="K194" s="534">
        <v>1</v>
      </c>
      <c r="L194" s="607">
        <v>949</v>
      </c>
      <c r="M194" s="578">
        <v>78</v>
      </c>
      <c r="N194" s="542">
        <v>0.217</v>
      </c>
      <c r="O194" s="607">
        <v>4</v>
      </c>
      <c r="P194" s="542">
        <v>5.1299999999999998E-2</v>
      </c>
      <c r="Q194" s="576">
        <v>1660</v>
      </c>
      <c r="R194" s="639">
        <v>1.75</v>
      </c>
      <c r="S194" s="576">
        <v>1650</v>
      </c>
      <c r="T194" s="639">
        <f t="shared" si="7"/>
        <v>1.7386722866174922</v>
      </c>
      <c r="U194" s="644">
        <v>6.0000000000000001E-3</v>
      </c>
    </row>
    <row r="195" spans="10:21">
      <c r="J195" s="547" t="s">
        <v>638</v>
      </c>
      <c r="K195" s="534">
        <v>1</v>
      </c>
      <c r="L195" s="607">
        <v>953</v>
      </c>
      <c r="M195" s="578">
        <v>8</v>
      </c>
      <c r="N195" s="542">
        <v>2.1999999999999999E-2</v>
      </c>
      <c r="O195" s="607">
        <v>1</v>
      </c>
      <c r="P195" s="542">
        <v>0.125</v>
      </c>
      <c r="Q195" s="576">
        <v>1500</v>
      </c>
      <c r="R195" s="639">
        <v>1.57</v>
      </c>
      <c r="S195" s="576">
        <v>1491</v>
      </c>
      <c r="T195" s="639">
        <f t="shared" si="7"/>
        <v>1.5645330535152151</v>
      </c>
      <c r="U195" s="644">
        <v>6.0000000000000001E-3</v>
      </c>
    </row>
    <row r="196" spans="10:21">
      <c r="J196" s="547" t="s">
        <v>639</v>
      </c>
      <c r="K196" s="534">
        <v>2</v>
      </c>
      <c r="L196" s="607">
        <v>1251</v>
      </c>
      <c r="M196" s="578">
        <v>70</v>
      </c>
      <c r="N196" s="542">
        <v>0.19400000000000001</v>
      </c>
      <c r="O196" s="607">
        <v>4</v>
      </c>
      <c r="P196" s="542">
        <v>5.7099999999999998E-2</v>
      </c>
      <c r="Q196" s="576">
        <v>1738</v>
      </c>
      <c r="R196" s="639">
        <v>1.39</v>
      </c>
      <c r="S196" s="576">
        <v>1727</v>
      </c>
      <c r="T196" s="639">
        <f t="shared" si="7"/>
        <v>1.3804956035171863</v>
      </c>
      <c r="U196" s="644">
        <v>6.0000000000000001E-3</v>
      </c>
    </row>
    <row r="197" spans="10:21">
      <c r="J197" s="547" t="s">
        <v>639</v>
      </c>
      <c r="K197" s="534">
        <v>2</v>
      </c>
      <c r="L197" s="607">
        <v>1326</v>
      </c>
      <c r="M197" s="578">
        <v>70</v>
      </c>
      <c r="N197" s="542">
        <v>0.19400000000000001</v>
      </c>
      <c r="O197" s="607">
        <v>9</v>
      </c>
      <c r="P197" s="542">
        <v>0.12859999999999999</v>
      </c>
      <c r="Q197" s="576">
        <v>1709</v>
      </c>
      <c r="R197" s="639">
        <v>1.29</v>
      </c>
      <c r="S197" s="576">
        <v>1698</v>
      </c>
      <c r="T197" s="639">
        <f t="shared" si="7"/>
        <v>1.2805429864253393</v>
      </c>
      <c r="U197" s="644">
        <v>6.0000000000000001E-3</v>
      </c>
    </row>
    <row r="198" spans="10:21">
      <c r="J198" s="547" t="s">
        <v>640</v>
      </c>
      <c r="K198" s="534">
        <v>2</v>
      </c>
      <c r="L198" s="607">
        <v>1480</v>
      </c>
      <c r="M198" s="578">
        <v>16</v>
      </c>
      <c r="N198" s="542">
        <v>4.3999999999999997E-2</v>
      </c>
      <c r="O198" s="607">
        <v>0</v>
      </c>
      <c r="P198" s="542">
        <v>0</v>
      </c>
      <c r="Q198" s="576">
        <v>2415</v>
      </c>
      <c r="R198" s="639">
        <v>1.63</v>
      </c>
      <c r="S198" s="576">
        <v>2400</v>
      </c>
      <c r="T198" s="639">
        <f t="shared" si="7"/>
        <v>1.6216216216216217</v>
      </c>
      <c r="U198" s="644">
        <v>6.0000000000000001E-3</v>
      </c>
    </row>
    <row r="199" spans="10:21">
      <c r="J199" s="548" t="s">
        <v>640</v>
      </c>
      <c r="K199" s="549">
        <v>2</v>
      </c>
      <c r="L199" s="641">
        <v>1556</v>
      </c>
      <c r="M199" s="585">
        <v>16</v>
      </c>
      <c r="N199" s="552">
        <v>4.3999999999999997E-2</v>
      </c>
      <c r="O199" s="641">
        <v>2</v>
      </c>
      <c r="P199" s="552">
        <v>0.125</v>
      </c>
      <c r="Q199" s="596">
        <v>2211</v>
      </c>
      <c r="R199" s="640">
        <v>1.42</v>
      </c>
      <c r="S199" s="596">
        <v>2197</v>
      </c>
      <c r="T199" s="640">
        <f t="shared" si="7"/>
        <v>1.4119537275064267</v>
      </c>
      <c r="U199" s="645">
        <v>6.0000000000000001E-3</v>
      </c>
    </row>
    <row r="200" spans="10:21">
      <c r="J200" s="547"/>
      <c r="K200" s="534"/>
      <c r="L200" s="607"/>
      <c r="M200" s="578"/>
      <c r="N200" s="542"/>
      <c r="O200" s="607"/>
      <c r="P200" s="542"/>
      <c r="Q200" s="576"/>
      <c r="R200" s="639"/>
      <c r="S200" s="576"/>
      <c r="T200" s="639"/>
      <c r="U200" s="644"/>
    </row>
    <row r="201" spans="10:21">
      <c r="J201" s="638" t="s">
        <v>641</v>
      </c>
      <c r="K201" s="534"/>
      <c r="L201" s="607">
        <v>833</v>
      </c>
      <c r="M201" s="607">
        <v>188</v>
      </c>
      <c r="N201" s="542">
        <v>0.52200000000000002</v>
      </c>
      <c r="O201" s="607">
        <v>15</v>
      </c>
      <c r="P201" s="542">
        <v>7.9799999999999996E-2</v>
      </c>
      <c r="Q201" s="576">
        <v>1454</v>
      </c>
      <c r="R201" s="639">
        <v>1.75</v>
      </c>
      <c r="S201" s="576">
        <v>1445</v>
      </c>
      <c r="T201" s="639">
        <v>1.74</v>
      </c>
      <c r="U201" s="644">
        <v>6.0000000000000001E-3</v>
      </c>
    </row>
    <row r="202" spans="10:21">
      <c r="J202" s="638" t="s">
        <v>642</v>
      </c>
      <c r="K202" s="534"/>
      <c r="L202" s="607">
        <v>1289</v>
      </c>
      <c r="M202" s="607">
        <v>140</v>
      </c>
      <c r="N202" s="542">
        <v>0.38900000000000001</v>
      </c>
      <c r="O202" s="642">
        <v>13</v>
      </c>
      <c r="P202" s="542">
        <v>9.2899999999999996E-2</v>
      </c>
      <c r="Q202" s="576">
        <v>1724</v>
      </c>
      <c r="R202" s="639">
        <v>1.34</v>
      </c>
      <c r="S202" s="576">
        <v>1713</v>
      </c>
      <c r="T202" s="639">
        <v>1.33</v>
      </c>
      <c r="U202" s="644">
        <v>6.0000000000000001E-3</v>
      </c>
    </row>
    <row r="203" spans="10:21">
      <c r="J203" s="638" t="s">
        <v>643</v>
      </c>
      <c r="K203" s="534"/>
      <c r="L203" s="607">
        <v>1518</v>
      </c>
      <c r="M203" s="607">
        <v>32</v>
      </c>
      <c r="N203" s="542">
        <v>8.8999999999999996E-2</v>
      </c>
      <c r="O203" s="607">
        <v>2</v>
      </c>
      <c r="P203" s="542">
        <v>6.25E-2</v>
      </c>
      <c r="Q203" s="576">
        <v>2313</v>
      </c>
      <c r="R203" s="639">
        <v>1.52</v>
      </c>
      <c r="S203" s="576">
        <v>2298</v>
      </c>
      <c r="T203" s="639">
        <v>1.51</v>
      </c>
      <c r="U203" s="644">
        <v>6.0000000000000001E-3</v>
      </c>
    </row>
    <row r="204" spans="10:21">
      <c r="J204" s="647" t="s">
        <v>644</v>
      </c>
      <c r="K204" s="557"/>
      <c r="L204" s="648">
        <v>1071</v>
      </c>
      <c r="M204" s="648">
        <v>360</v>
      </c>
      <c r="N204" s="559">
        <v>1</v>
      </c>
      <c r="O204" s="648">
        <v>30</v>
      </c>
      <c r="P204" s="559">
        <v>8.3299999999999999E-2</v>
      </c>
      <c r="Q204" s="620">
        <v>1635</v>
      </c>
      <c r="R204" s="649">
        <v>1.53</v>
      </c>
      <c r="S204" s="620">
        <v>1625</v>
      </c>
      <c r="T204" s="649">
        <v>1.52</v>
      </c>
      <c r="U204" s="650">
        <v>6.0000000000000001E-3</v>
      </c>
    </row>
    <row r="205" spans="10:21">
      <c r="J205" s="533"/>
      <c r="K205" s="538"/>
      <c r="L205" s="533"/>
      <c r="M205" s="539"/>
      <c r="N205" s="609"/>
      <c r="O205" s="610"/>
      <c r="P205" s="610"/>
      <c r="Q205" s="610"/>
      <c r="R205" s="610"/>
      <c r="S205" s="610"/>
      <c r="T205" s="610"/>
      <c r="U205" s="610"/>
    </row>
    <row r="206" spans="10:21">
      <c r="T206" s="1235">
        <f>SUMPRODUCT(M191:M199,T191:T199)/SUM(M191:M199)</f>
        <v>1.5604137637342019</v>
      </c>
    </row>
    <row r="211" spans="3:21" ht="15.75">
      <c r="C211" s="485" t="s">
        <v>675</v>
      </c>
    </row>
    <row r="213" spans="3:21" ht="18.75">
      <c r="J213" s="478" t="str">
        <f>C13</f>
        <v>The Ranch at Prairie Trace</v>
      </c>
      <c r="K213" s="478"/>
      <c r="L213" s="478"/>
      <c r="M213" s="478"/>
      <c r="N213" s="478"/>
      <c r="O213" s="478"/>
      <c r="P213" s="478"/>
      <c r="Q213" s="478"/>
      <c r="R213" s="478"/>
      <c r="S213" s="478"/>
      <c r="T213" s="478"/>
      <c r="U213" s="478"/>
    </row>
    <row r="214" spans="3:21" ht="18.75">
      <c r="J214" s="487" t="s">
        <v>676</v>
      </c>
      <c r="K214" s="478"/>
      <c r="L214" s="478"/>
      <c r="M214" s="478"/>
      <c r="N214" s="478"/>
      <c r="O214" s="478"/>
      <c r="P214" s="478"/>
      <c r="Q214" s="478"/>
      <c r="R214" s="478"/>
      <c r="S214" s="478"/>
      <c r="T214" s="478"/>
      <c r="U214" s="478"/>
    </row>
    <row r="215" spans="3:21" ht="15.75">
      <c r="J215" s="651" t="s">
        <v>627</v>
      </c>
      <c r="K215" s="652" t="s">
        <v>628</v>
      </c>
      <c r="L215" s="652" t="s">
        <v>539</v>
      </c>
      <c r="M215" s="652" t="s">
        <v>629</v>
      </c>
      <c r="N215" s="652" t="s">
        <v>630</v>
      </c>
      <c r="O215" s="652" t="s">
        <v>631</v>
      </c>
      <c r="P215" s="652" t="s">
        <v>632</v>
      </c>
      <c r="Q215" s="652" t="s">
        <v>633</v>
      </c>
      <c r="R215" s="652" t="s">
        <v>634</v>
      </c>
      <c r="S215" s="652" t="s">
        <v>635</v>
      </c>
      <c r="T215" s="652" t="s">
        <v>636</v>
      </c>
      <c r="U215" s="653" t="s">
        <v>637</v>
      </c>
    </row>
    <row r="216" spans="3:21" ht="15.75">
      <c r="J216" s="654" t="s">
        <v>638</v>
      </c>
      <c r="K216" s="655">
        <v>1</v>
      </c>
      <c r="L216" s="656">
        <v>600</v>
      </c>
      <c r="M216" s="656">
        <v>24</v>
      </c>
      <c r="N216" s="657">
        <v>8.5999999999999993E-2</v>
      </c>
      <c r="O216" s="656">
        <v>0</v>
      </c>
      <c r="P216" s="443">
        <v>0</v>
      </c>
      <c r="Q216" s="12">
        <v>1273</v>
      </c>
      <c r="R216" s="237">
        <v>2.12</v>
      </c>
      <c r="S216" s="12">
        <v>1265</v>
      </c>
      <c r="T216" s="237">
        <f t="shared" ref="T216:T224" si="8">S216/L216</f>
        <v>2.1083333333333334</v>
      </c>
      <c r="U216" s="658">
        <v>6.0000000000000001E-3</v>
      </c>
    </row>
    <row r="217" spans="3:21" ht="15.75">
      <c r="J217" s="654" t="s">
        <v>638</v>
      </c>
      <c r="K217" s="655">
        <v>1</v>
      </c>
      <c r="L217" s="656">
        <v>633</v>
      </c>
      <c r="M217" s="656">
        <v>42</v>
      </c>
      <c r="N217" s="657">
        <v>0.15</v>
      </c>
      <c r="O217" s="656">
        <v>1</v>
      </c>
      <c r="P217" s="443">
        <v>2.3800000000000002E-2</v>
      </c>
      <c r="Q217" s="12">
        <v>1368</v>
      </c>
      <c r="R217" s="237">
        <v>2.16</v>
      </c>
      <c r="S217" s="12">
        <v>1360</v>
      </c>
      <c r="T217" s="237">
        <f t="shared" si="8"/>
        <v>2.1484992101105846</v>
      </c>
      <c r="U217" s="658">
        <v>6.0000000000000001E-3</v>
      </c>
    </row>
    <row r="218" spans="3:21" ht="15.75">
      <c r="J218" s="654" t="s">
        <v>638</v>
      </c>
      <c r="K218" s="655">
        <v>1</v>
      </c>
      <c r="L218" s="656">
        <v>717</v>
      </c>
      <c r="M218" s="656">
        <v>34</v>
      </c>
      <c r="N218" s="657">
        <v>0.121</v>
      </c>
      <c r="O218" s="656">
        <v>4</v>
      </c>
      <c r="P218" s="443">
        <v>0.1176</v>
      </c>
      <c r="Q218" s="12">
        <v>1363</v>
      </c>
      <c r="R218" s="237">
        <v>1.9</v>
      </c>
      <c r="S218" s="12">
        <v>1355</v>
      </c>
      <c r="T218" s="237">
        <f t="shared" si="8"/>
        <v>1.8898186889818689</v>
      </c>
      <c r="U218" s="658">
        <v>6.0000000000000001E-3</v>
      </c>
    </row>
    <row r="219" spans="3:21" ht="15.75">
      <c r="J219" s="654" t="s">
        <v>638</v>
      </c>
      <c r="K219" s="655">
        <v>1</v>
      </c>
      <c r="L219" s="656">
        <v>748</v>
      </c>
      <c r="M219" s="656">
        <v>12</v>
      </c>
      <c r="N219" s="657">
        <v>4.2999999999999997E-2</v>
      </c>
      <c r="O219" s="656">
        <v>2</v>
      </c>
      <c r="P219" s="443">
        <v>0.16669999999999999</v>
      </c>
      <c r="Q219" s="12">
        <v>1453</v>
      </c>
      <c r="R219" s="237">
        <v>1.94</v>
      </c>
      <c r="S219" s="12">
        <v>1444</v>
      </c>
      <c r="T219" s="237">
        <f t="shared" si="8"/>
        <v>1.9304812834224598</v>
      </c>
      <c r="U219" s="658">
        <v>6.0000000000000001E-3</v>
      </c>
    </row>
    <row r="220" spans="3:21" ht="15.75">
      <c r="J220" s="654" t="s">
        <v>638</v>
      </c>
      <c r="K220" s="655">
        <v>1</v>
      </c>
      <c r="L220" s="656">
        <v>837</v>
      </c>
      <c r="M220" s="656">
        <v>24</v>
      </c>
      <c r="N220" s="657">
        <v>8.5999999999999993E-2</v>
      </c>
      <c r="O220" s="656">
        <v>0</v>
      </c>
      <c r="P220" s="443">
        <v>0</v>
      </c>
      <c r="Q220" s="12">
        <v>1313</v>
      </c>
      <c r="R220" s="237">
        <v>1.57</v>
      </c>
      <c r="S220" s="12">
        <v>1305</v>
      </c>
      <c r="T220" s="237">
        <f t="shared" si="8"/>
        <v>1.5591397849462365</v>
      </c>
      <c r="U220" s="658">
        <v>6.0000000000000001E-3</v>
      </c>
    </row>
    <row r="221" spans="3:21" ht="15.75">
      <c r="J221" s="654" t="s">
        <v>639</v>
      </c>
      <c r="K221" s="655">
        <v>2</v>
      </c>
      <c r="L221" s="656">
        <v>1091</v>
      </c>
      <c r="M221" s="656">
        <v>40</v>
      </c>
      <c r="N221" s="657">
        <v>0.14299999999999999</v>
      </c>
      <c r="O221" s="656">
        <v>3</v>
      </c>
      <c r="P221" s="443">
        <v>7.4999999999999997E-2</v>
      </c>
      <c r="Q221" s="12">
        <v>1528</v>
      </c>
      <c r="R221" s="237">
        <v>1.4</v>
      </c>
      <c r="S221" s="12">
        <v>1519</v>
      </c>
      <c r="T221" s="237">
        <f t="shared" si="8"/>
        <v>1.3923006416131989</v>
      </c>
      <c r="U221" s="658">
        <v>6.0000000000000001E-3</v>
      </c>
    </row>
    <row r="222" spans="3:21" ht="15.75">
      <c r="J222" s="654" t="s">
        <v>639</v>
      </c>
      <c r="K222" s="655">
        <v>2</v>
      </c>
      <c r="L222" s="656">
        <v>1094</v>
      </c>
      <c r="M222" s="656">
        <v>28</v>
      </c>
      <c r="N222" s="657">
        <v>0.1</v>
      </c>
      <c r="O222" s="656">
        <v>1</v>
      </c>
      <c r="P222" s="443">
        <v>3.5700000000000003E-2</v>
      </c>
      <c r="Q222" s="12">
        <v>1679</v>
      </c>
      <c r="R222" s="237">
        <v>1.53</v>
      </c>
      <c r="S222" s="12">
        <v>1669</v>
      </c>
      <c r="T222" s="237">
        <f t="shared" si="8"/>
        <v>1.5255941499085923</v>
      </c>
      <c r="U222" s="658">
        <v>6.0000000000000001E-3</v>
      </c>
    </row>
    <row r="223" spans="3:21" ht="15.75">
      <c r="J223" s="654" t="s">
        <v>639</v>
      </c>
      <c r="K223" s="655">
        <v>2</v>
      </c>
      <c r="L223" s="656">
        <v>1138</v>
      </c>
      <c r="M223" s="656">
        <v>60</v>
      </c>
      <c r="N223" s="657">
        <v>0.214</v>
      </c>
      <c r="O223" s="656">
        <v>5</v>
      </c>
      <c r="P223" s="443">
        <v>8.3299999999999999E-2</v>
      </c>
      <c r="Q223" s="12">
        <v>1623</v>
      </c>
      <c r="R223" s="237">
        <v>1.43</v>
      </c>
      <c r="S223" s="12">
        <v>1613</v>
      </c>
      <c r="T223" s="237">
        <f t="shared" si="8"/>
        <v>1.4173989455184535</v>
      </c>
      <c r="U223" s="658">
        <v>6.0000000000000001E-3</v>
      </c>
    </row>
    <row r="224" spans="3:21" ht="15.75">
      <c r="J224" s="659" t="s">
        <v>640</v>
      </c>
      <c r="K224" s="660">
        <v>2</v>
      </c>
      <c r="L224" s="661">
        <v>1298</v>
      </c>
      <c r="M224" s="661">
        <v>16</v>
      </c>
      <c r="N224" s="662">
        <v>5.7000000000000002E-2</v>
      </c>
      <c r="O224" s="661">
        <v>1</v>
      </c>
      <c r="P224" s="663">
        <v>6.25E-2</v>
      </c>
      <c r="Q224" s="664">
        <v>1993</v>
      </c>
      <c r="R224" s="665">
        <v>1.54</v>
      </c>
      <c r="S224" s="664">
        <v>1980</v>
      </c>
      <c r="T224" s="665">
        <f t="shared" si="8"/>
        <v>1.5254237288135593</v>
      </c>
      <c r="U224" s="666">
        <v>7.0000000000000001E-3</v>
      </c>
    </row>
    <row r="225" spans="3:21" ht="15.75">
      <c r="J225" s="39"/>
      <c r="K225" s="667"/>
      <c r="L225" s="656"/>
      <c r="M225" s="656"/>
      <c r="N225" s="657"/>
      <c r="O225" s="656"/>
      <c r="P225" s="443"/>
      <c r="Q225" s="12"/>
      <c r="R225" s="237"/>
      <c r="S225" s="12"/>
      <c r="T225" s="237"/>
      <c r="U225" s="658"/>
    </row>
    <row r="226" spans="3:21" ht="15.75">
      <c r="J226" s="39" t="s">
        <v>641</v>
      </c>
      <c r="K226" s="667"/>
      <c r="L226" s="656">
        <v>694</v>
      </c>
      <c r="M226" s="656">
        <v>136</v>
      </c>
      <c r="N226" s="657">
        <v>0.48599999999999999</v>
      </c>
      <c r="O226" s="656">
        <v>7</v>
      </c>
      <c r="P226" s="443">
        <v>5.1499999999999997E-2</v>
      </c>
      <c r="Q226" s="12">
        <v>1348</v>
      </c>
      <c r="R226" s="237">
        <v>1.94</v>
      </c>
      <c r="S226" s="12">
        <v>1339</v>
      </c>
      <c r="T226" s="237">
        <v>1.93</v>
      </c>
      <c r="U226" s="658">
        <v>6.0000000000000001E-3</v>
      </c>
    </row>
    <row r="227" spans="3:21" ht="15.75">
      <c r="J227" s="39" t="s">
        <v>642</v>
      </c>
      <c r="K227" s="667"/>
      <c r="L227" s="656">
        <v>1114</v>
      </c>
      <c r="M227" s="656">
        <v>128</v>
      </c>
      <c r="N227" s="657">
        <v>0.45700000000000002</v>
      </c>
      <c r="O227" s="656">
        <v>9</v>
      </c>
      <c r="P227" s="443">
        <v>7.0300000000000001E-2</v>
      </c>
      <c r="Q227" s="12">
        <v>1606</v>
      </c>
      <c r="R227" s="237">
        <v>1.44</v>
      </c>
      <c r="S227" s="12">
        <v>1596</v>
      </c>
      <c r="T227" s="237">
        <v>1.43</v>
      </c>
      <c r="U227" s="658">
        <v>6.0000000000000001E-3</v>
      </c>
    </row>
    <row r="228" spans="3:21" ht="15.75">
      <c r="J228" s="39" t="s">
        <v>643</v>
      </c>
      <c r="K228" s="667"/>
      <c r="L228" s="656">
        <v>1298</v>
      </c>
      <c r="M228" s="656">
        <v>16</v>
      </c>
      <c r="N228" s="657">
        <v>5.7000000000000002E-2</v>
      </c>
      <c r="O228" s="656">
        <v>1</v>
      </c>
      <c r="P228" s="443">
        <v>6.25E-2</v>
      </c>
      <c r="Q228" s="12">
        <v>1993</v>
      </c>
      <c r="R228" s="237">
        <v>1.54</v>
      </c>
      <c r="S228" s="12">
        <v>1980</v>
      </c>
      <c r="T228" s="237">
        <v>1.53</v>
      </c>
      <c r="U228" s="658">
        <v>7.0000000000000001E-3</v>
      </c>
    </row>
    <row r="229" spans="3:21" ht="15.75">
      <c r="J229" s="668" t="s">
        <v>644</v>
      </c>
      <c r="K229" s="669"/>
      <c r="L229" s="670">
        <v>921</v>
      </c>
      <c r="M229" s="670">
        <v>280</v>
      </c>
      <c r="N229" s="671">
        <v>1</v>
      </c>
      <c r="O229" s="670">
        <v>17</v>
      </c>
      <c r="P229" s="672">
        <v>6.0699999999999997E-2</v>
      </c>
      <c r="Q229" s="673">
        <v>1503</v>
      </c>
      <c r="R229" s="674">
        <v>1.63</v>
      </c>
      <c r="S229" s="673">
        <v>1493</v>
      </c>
      <c r="T229" s="674">
        <v>1.62</v>
      </c>
      <c r="U229" s="675">
        <v>6.0000000000000001E-3</v>
      </c>
    </row>
    <row r="230" spans="3:21">
      <c r="J230" s="533"/>
      <c r="K230" s="538"/>
      <c r="L230" s="533"/>
      <c r="M230" s="539"/>
      <c r="N230" s="609"/>
      <c r="O230" s="610"/>
      <c r="P230" s="610"/>
      <c r="Q230" s="610"/>
      <c r="R230" s="610"/>
      <c r="S230" s="610"/>
      <c r="T230" s="610"/>
      <c r="U230" s="610"/>
    </row>
    <row r="231" spans="3:21">
      <c r="T231" s="1235">
        <f>SUMPRODUCT(M216:M224,T216:T224)/SUM(M216:M224)</f>
        <v>1.6911975383710713</v>
      </c>
    </row>
    <row r="233" spans="3:21">
      <c r="J233" s="608"/>
      <c r="K233" s="534"/>
      <c r="L233" s="534"/>
      <c r="M233" s="534"/>
      <c r="N233" s="534"/>
      <c r="O233" s="534"/>
      <c r="P233" s="534"/>
      <c r="Q233" s="534"/>
      <c r="R233" s="534"/>
      <c r="S233" s="534"/>
      <c r="T233" s="534"/>
      <c r="U233" s="534"/>
    </row>
    <row r="234" spans="3:21">
      <c r="J234" s="533"/>
      <c r="K234" s="538"/>
      <c r="L234" s="533"/>
      <c r="M234" s="539"/>
      <c r="N234" s="609"/>
      <c r="O234" s="610"/>
      <c r="P234" s="610"/>
      <c r="Q234" s="610"/>
      <c r="R234" s="610"/>
      <c r="S234" s="610"/>
      <c r="T234" s="610"/>
      <c r="U234" s="610"/>
    </row>
    <row r="235" spans="3:21" ht="15.75">
      <c r="C235" s="485" t="s">
        <v>677</v>
      </c>
    </row>
    <row r="238" spans="3:21" ht="18.75">
      <c r="J238" s="478" t="str">
        <f>C14</f>
        <v>Corbin Greens</v>
      </c>
      <c r="K238" s="478"/>
      <c r="L238" s="478"/>
      <c r="M238" s="478"/>
      <c r="N238" s="478"/>
      <c r="O238" s="478"/>
      <c r="P238" s="478"/>
      <c r="Q238" s="478"/>
      <c r="R238" s="478"/>
      <c r="S238" s="478"/>
      <c r="T238" s="478"/>
      <c r="U238" s="478"/>
    </row>
    <row r="239" spans="3:21" ht="18.75">
      <c r="J239" s="487" t="s">
        <v>678</v>
      </c>
      <c r="K239" s="478"/>
      <c r="L239" s="478"/>
      <c r="M239" s="478"/>
      <c r="N239" s="478"/>
      <c r="O239" s="478"/>
      <c r="P239" s="478"/>
      <c r="Q239" s="478"/>
      <c r="R239" s="478"/>
      <c r="S239" s="478"/>
      <c r="T239" s="478"/>
      <c r="U239" s="478"/>
    </row>
    <row r="240" spans="3:21" ht="15.75">
      <c r="J240" s="651" t="s">
        <v>627</v>
      </c>
      <c r="K240" s="652" t="s">
        <v>628</v>
      </c>
      <c r="L240" s="652" t="s">
        <v>539</v>
      </c>
      <c r="M240" s="652" t="s">
        <v>629</v>
      </c>
      <c r="N240" s="652" t="s">
        <v>630</v>
      </c>
      <c r="O240" s="652" t="s">
        <v>631</v>
      </c>
      <c r="P240" s="652" t="s">
        <v>632</v>
      </c>
      <c r="Q240" s="652" t="s">
        <v>633</v>
      </c>
      <c r="R240" s="652" t="s">
        <v>634</v>
      </c>
      <c r="S240" s="652" t="s">
        <v>635</v>
      </c>
      <c r="T240" s="652" t="s">
        <v>636</v>
      </c>
      <c r="U240" s="653" t="s">
        <v>637</v>
      </c>
    </row>
    <row r="241" spans="10:21" ht="15.75">
      <c r="J241" s="676" t="s">
        <v>638</v>
      </c>
      <c r="K241" s="677">
        <v>1</v>
      </c>
      <c r="L241" s="656">
        <v>695</v>
      </c>
      <c r="M241" s="656">
        <v>24</v>
      </c>
      <c r="N241" s="657">
        <v>0.105</v>
      </c>
      <c r="O241" s="656">
        <v>1</v>
      </c>
      <c r="P241" s="657">
        <v>4.1700000000000001E-2</v>
      </c>
      <c r="Q241" s="285">
        <v>1340</v>
      </c>
      <c r="R241" s="285">
        <v>1.93</v>
      </c>
      <c r="S241" s="285">
        <v>1340</v>
      </c>
      <c r="T241" s="285">
        <f t="shared" ref="T241:T247" si="9">S241/L241</f>
        <v>1.9280575539568345</v>
      </c>
      <c r="U241" s="658">
        <v>0</v>
      </c>
    </row>
    <row r="242" spans="10:21" ht="15.75">
      <c r="J242" s="676" t="s">
        <v>638</v>
      </c>
      <c r="K242" s="677">
        <v>1</v>
      </c>
      <c r="L242" s="656">
        <v>722</v>
      </c>
      <c r="M242" s="656">
        <v>12</v>
      </c>
      <c r="N242" s="657">
        <v>5.2999999999999999E-2</v>
      </c>
      <c r="O242" s="656">
        <v>0</v>
      </c>
      <c r="P242" s="657">
        <v>0</v>
      </c>
      <c r="Q242" s="285">
        <v>1286</v>
      </c>
      <c r="R242" s="285">
        <v>1.78</v>
      </c>
      <c r="S242" s="285">
        <v>1286</v>
      </c>
      <c r="T242" s="285">
        <f t="shared" si="9"/>
        <v>1.7811634349030472</v>
      </c>
      <c r="U242" s="658">
        <v>0</v>
      </c>
    </row>
    <row r="243" spans="10:21" ht="15.75">
      <c r="J243" s="676" t="s">
        <v>638</v>
      </c>
      <c r="K243" s="677">
        <v>1</v>
      </c>
      <c r="L243" s="656">
        <v>812</v>
      </c>
      <c r="M243" s="656">
        <v>72</v>
      </c>
      <c r="N243" s="657">
        <v>0.316</v>
      </c>
      <c r="O243" s="656">
        <v>2</v>
      </c>
      <c r="P243" s="657">
        <v>2.7799999999999998E-2</v>
      </c>
      <c r="Q243" s="285">
        <v>1320</v>
      </c>
      <c r="R243" s="285">
        <v>1.63</v>
      </c>
      <c r="S243" s="285">
        <v>1320</v>
      </c>
      <c r="T243" s="285">
        <f t="shared" si="9"/>
        <v>1.625615763546798</v>
      </c>
      <c r="U243" s="658">
        <v>0</v>
      </c>
    </row>
    <row r="244" spans="10:21" ht="15.75">
      <c r="J244" s="676" t="s">
        <v>639</v>
      </c>
      <c r="K244" s="677">
        <v>1</v>
      </c>
      <c r="L244" s="656">
        <v>983</v>
      </c>
      <c r="M244" s="656">
        <v>12</v>
      </c>
      <c r="N244" s="657">
        <v>5.2999999999999999E-2</v>
      </c>
      <c r="O244" s="656">
        <v>1</v>
      </c>
      <c r="P244" s="657">
        <v>8.3299999999999999E-2</v>
      </c>
      <c r="Q244" s="285">
        <v>1508</v>
      </c>
      <c r="R244" s="285">
        <v>1.53</v>
      </c>
      <c r="S244" s="285">
        <v>1508</v>
      </c>
      <c r="T244" s="285">
        <f t="shared" si="9"/>
        <v>1.5340793489318414</v>
      </c>
      <c r="U244" s="658">
        <v>0</v>
      </c>
    </row>
    <row r="245" spans="10:21" ht="15.75">
      <c r="J245" s="676" t="s">
        <v>639</v>
      </c>
      <c r="K245" s="677">
        <v>2</v>
      </c>
      <c r="L245" s="656">
        <v>1137</v>
      </c>
      <c r="M245" s="656">
        <v>36</v>
      </c>
      <c r="N245" s="657">
        <v>0.158</v>
      </c>
      <c r="O245" s="656">
        <v>1</v>
      </c>
      <c r="P245" s="657">
        <v>2.7799999999999998E-2</v>
      </c>
      <c r="Q245" s="285">
        <v>1787</v>
      </c>
      <c r="R245" s="285">
        <v>1.57</v>
      </c>
      <c r="S245" s="285">
        <v>1787</v>
      </c>
      <c r="T245" s="285">
        <f t="shared" si="9"/>
        <v>1.5716798592788039</v>
      </c>
      <c r="U245" s="658">
        <v>0</v>
      </c>
    </row>
    <row r="246" spans="10:21" ht="15.75">
      <c r="J246" s="676" t="s">
        <v>639</v>
      </c>
      <c r="K246" s="677">
        <v>2</v>
      </c>
      <c r="L246" s="656">
        <v>1195</v>
      </c>
      <c r="M246" s="656">
        <v>56</v>
      </c>
      <c r="N246" s="657">
        <v>0.246</v>
      </c>
      <c r="O246" s="656">
        <v>4</v>
      </c>
      <c r="P246" s="657">
        <v>7.1400000000000005E-2</v>
      </c>
      <c r="Q246" s="285">
        <v>1851</v>
      </c>
      <c r="R246" s="285">
        <v>1.55</v>
      </c>
      <c r="S246" s="285">
        <v>1851</v>
      </c>
      <c r="T246" s="285">
        <f t="shared" si="9"/>
        <v>1.5489539748953975</v>
      </c>
      <c r="U246" s="658">
        <v>0</v>
      </c>
    </row>
    <row r="247" spans="10:21" ht="15.75">
      <c r="J247" s="679" t="s">
        <v>640</v>
      </c>
      <c r="K247" s="680">
        <v>2</v>
      </c>
      <c r="L247" s="661">
        <v>1327</v>
      </c>
      <c r="M247" s="661">
        <v>16</v>
      </c>
      <c r="N247" s="662">
        <v>7.0000000000000007E-2</v>
      </c>
      <c r="O247" s="661">
        <v>1</v>
      </c>
      <c r="P247" s="662">
        <v>6.25E-2</v>
      </c>
      <c r="Q247" s="681">
        <v>2572</v>
      </c>
      <c r="R247" s="681">
        <v>1.94</v>
      </c>
      <c r="S247" s="681">
        <v>2572</v>
      </c>
      <c r="T247" s="681">
        <f t="shared" si="9"/>
        <v>1.9382064807837227</v>
      </c>
      <c r="U247" s="666">
        <v>0</v>
      </c>
    </row>
    <row r="248" spans="10:21" ht="15.75">
      <c r="J248" s="39"/>
      <c r="K248" s="667"/>
      <c r="L248" s="656"/>
      <c r="M248" s="656"/>
      <c r="N248" s="657"/>
      <c r="O248" s="656"/>
      <c r="P248" s="657"/>
      <c r="Q248" s="285"/>
      <c r="R248" s="285"/>
      <c r="S248" s="285"/>
      <c r="T248" s="285"/>
      <c r="U248" s="658"/>
    </row>
    <row r="249" spans="10:21" ht="15.75">
      <c r="J249" s="39" t="s">
        <v>641</v>
      </c>
      <c r="K249" s="667"/>
      <c r="L249" s="656">
        <v>776</v>
      </c>
      <c r="M249" s="656">
        <v>108</v>
      </c>
      <c r="N249" s="657">
        <v>0.47399999999999998</v>
      </c>
      <c r="O249" s="656">
        <v>3</v>
      </c>
      <c r="P249" s="657">
        <v>2.7799999999999998E-2</v>
      </c>
      <c r="Q249" s="285">
        <v>1321</v>
      </c>
      <c r="R249" s="285">
        <v>1.7</v>
      </c>
      <c r="S249" s="285">
        <v>1321</v>
      </c>
      <c r="T249" s="285">
        <v>1.7</v>
      </c>
      <c r="U249" s="658">
        <v>0</v>
      </c>
    </row>
    <row r="250" spans="10:21" ht="15.75">
      <c r="J250" s="39" t="s">
        <v>642</v>
      </c>
      <c r="K250" s="667"/>
      <c r="L250" s="656">
        <v>1150</v>
      </c>
      <c r="M250" s="656">
        <v>104</v>
      </c>
      <c r="N250" s="657">
        <v>0.45600000000000002</v>
      </c>
      <c r="O250" s="656">
        <v>6</v>
      </c>
      <c r="P250" s="657">
        <v>5.7700000000000001E-2</v>
      </c>
      <c r="Q250" s="285">
        <v>1789</v>
      </c>
      <c r="R250" s="285">
        <v>1.56</v>
      </c>
      <c r="S250" s="285">
        <v>1789</v>
      </c>
      <c r="T250" s="285">
        <v>1.56</v>
      </c>
      <c r="U250" s="658">
        <v>0</v>
      </c>
    </row>
    <row r="251" spans="10:21" ht="15.75">
      <c r="J251" s="39" t="s">
        <v>643</v>
      </c>
      <c r="K251" s="667"/>
      <c r="L251" s="656">
        <v>1327</v>
      </c>
      <c r="M251" s="656">
        <v>16</v>
      </c>
      <c r="N251" s="657">
        <v>7.0000000000000007E-2</v>
      </c>
      <c r="O251" s="656">
        <v>1</v>
      </c>
      <c r="P251" s="657">
        <v>6.25E-2</v>
      </c>
      <c r="Q251" s="285">
        <v>2572</v>
      </c>
      <c r="R251" s="285">
        <v>1.94</v>
      </c>
      <c r="S251" s="285">
        <v>2572</v>
      </c>
      <c r="T251" s="285">
        <v>1.94</v>
      </c>
      <c r="U251" s="658">
        <v>0</v>
      </c>
    </row>
    <row r="252" spans="10:21" ht="15.75">
      <c r="J252" s="668" t="s">
        <v>644</v>
      </c>
      <c r="K252" s="669"/>
      <c r="L252" s="670">
        <v>985</v>
      </c>
      <c r="M252" s="670">
        <v>228</v>
      </c>
      <c r="N252" s="671">
        <v>1</v>
      </c>
      <c r="O252" s="670">
        <v>10</v>
      </c>
      <c r="P252" s="671">
        <v>4.3900000000000002E-2</v>
      </c>
      <c r="Q252" s="678">
        <v>1622</v>
      </c>
      <c r="R252" s="678">
        <v>1.65</v>
      </c>
      <c r="S252" s="678">
        <v>1622</v>
      </c>
      <c r="T252" s="678">
        <v>1.65</v>
      </c>
      <c r="U252" s="675">
        <v>0</v>
      </c>
    </row>
    <row r="253" spans="10:21">
      <c r="J253" s="608"/>
      <c r="K253" s="534"/>
      <c r="L253" s="534"/>
      <c r="M253" s="534"/>
      <c r="N253" s="534"/>
      <c r="O253" s="534"/>
      <c r="P253" s="534"/>
      <c r="Q253" s="534"/>
      <c r="R253" s="534"/>
      <c r="S253" s="534"/>
      <c r="T253" s="534"/>
      <c r="U253" s="534"/>
    </row>
    <row r="254" spans="10:21">
      <c r="J254" s="608"/>
      <c r="K254" s="534"/>
      <c r="L254" s="534"/>
      <c r="M254" s="534"/>
      <c r="N254" s="534"/>
      <c r="O254" s="534"/>
      <c r="P254" s="534"/>
      <c r="Q254" s="534"/>
      <c r="R254" s="534"/>
      <c r="S254" s="534"/>
      <c r="T254" s="534"/>
      <c r="U254" s="534"/>
    </row>
    <row r="255" spans="10:21">
      <c r="J255" s="533"/>
      <c r="K255" s="538"/>
      <c r="L255" s="533"/>
      <c r="M255" s="539"/>
      <c r="N255" s="609"/>
      <c r="O255" s="610"/>
      <c r="P255" s="610"/>
      <c r="Q255" s="610"/>
      <c r="R255" s="610"/>
      <c r="S255" s="610"/>
      <c r="T255" s="1235">
        <f>SUMPRODUCT(M241:M247,T241:T247)/SUM(M241:M247)</f>
        <v>1.6554115390222408</v>
      </c>
      <c r="U255" s="610"/>
    </row>
    <row r="258" spans="3:21" ht="15.75">
      <c r="C258" s="485" t="s">
        <v>679</v>
      </c>
    </row>
    <row r="259" spans="3:21" ht="18.75">
      <c r="J259" s="478" t="str">
        <f>C15</f>
        <v>Weston Point</v>
      </c>
      <c r="K259" s="478"/>
      <c r="L259" s="478"/>
      <c r="M259" s="478"/>
      <c r="N259" s="478"/>
      <c r="O259" s="478"/>
      <c r="P259" s="478"/>
      <c r="Q259" s="478"/>
      <c r="R259" s="478"/>
      <c r="S259" s="478"/>
      <c r="T259" s="478"/>
      <c r="U259" s="478"/>
    </row>
    <row r="260" spans="3:21" ht="18.75">
      <c r="J260" s="487" t="s">
        <v>680</v>
      </c>
      <c r="K260" s="478"/>
      <c r="L260" s="478"/>
      <c r="M260" s="478"/>
      <c r="N260" s="478"/>
      <c r="O260" s="478"/>
      <c r="P260" s="478"/>
      <c r="Q260" s="478"/>
      <c r="R260" s="478"/>
      <c r="S260" s="478"/>
      <c r="T260" s="478"/>
      <c r="U260" s="478"/>
    </row>
    <row r="261" spans="3:21">
      <c r="J261" s="544" t="s">
        <v>627</v>
      </c>
      <c r="K261" s="545" t="s">
        <v>628</v>
      </c>
      <c r="L261" s="545" t="s">
        <v>539</v>
      </c>
      <c r="M261" s="545" t="s">
        <v>629</v>
      </c>
      <c r="N261" s="545" t="s">
        <v>630</v>
      </c>
      <c r="O261" s="545" t="s">
        <v>631</v>
      </c>
      <c r="P261" s="683" t="s">
        <v>632</v>
      </c>
      <c r="Q261" s="545" t="s">
        <v>633</v>
      </c>
      <c r="R261" s="545" t="s">
        <v>634</v>
      </c>
      <c r="S261" s="545" t="s">
        <v>635</v>
      </c>
      <c r="T261" s="545" t="s">
        <v>636</v>
      </c>
      <c r="U261" s="682" t="s">
        <v>637</v>
      </c>
    </row>
    <row r="262" spans="3:21">
      <c r="J262" s="547" t="s">
        <v>638</v>
      </c>
      <c r="K262" s="534">
        <v>1</v>
      </c>
      <c r="L262" s="534">
        <v>739</v>
      </c>
      <c r="M262" s="578">
        <v>106</v>
      </c>
      <c r="N262" s="542">
        <v>0.30299999999999999</v>
      </c>
      <c r="O262" s="607">
        <v>5</v>
      </c>
      <c r="P262" s="542">
        <v>4.7199999999999999E-2</v>
      </c>
      <c r="Q262" s="576">
        <v>1229</v>
      </c>
      <c r="R262" s="567">
        <v>1.66</v>
      </c>
      <c r="S262" s="576">
        <v>1229</v>
      </c>
      <c r="T262" s="567">
        <f t="shared" ref="T262:T270" si="10">S262/L262</f>
        <v>1.6630581867388363</v>
      </c>
      <c r="U262" s="686">
        <v>0</v>
      </c>
    </row>
    <row r="263" spans="3:21">
      <c r="J263" s="547" t="s">
        <v>638</v>
      </c>
      <c r="K263" s="534">
        <v>1</v>
      </c>
      <c r="L263" s="534">
        <v>817</v>
      </c>
      <c r="M263" s="578">
        <v>64</v>
      </c>
      <c r="N263" s="542">
        <v>0.183</v>
      </c>
      <c r="O263" s="607">
        <v>5</v>
      </c>
      <c r="P263" s="542">
        <v>7.8100000000000003E-2</v>
      </c>
      <c r="Q263" s="576">
        <v>1344</v>
      </c>
      <c r="R263" s="567">
        <v>1.65</v>
      </c>
      <c r="S263" s="576">
        <v>1344</v>
      </c>
      <c r="T263" s="567">
        <f t="shared" si="10"/>
        <v>1.6450428396572827</v>
      </c>
      <c r="U263" s="686">
        <v>0</v>
      </c>
    </row>
    <row r="264" spans="3:21">
      <c r="J264" s="547" t="s">
        <v>639</v>
      </c>
      <c r="K264" s="534">
        <v>2</v>
      </c>
      <c r="L264" s="534">
        <v>1007</v>
      </c>
      <c r="M264" s="578">
        <v>28</v>
      </c>
      <c r="N264" s="542">
        <v>0.08</v>
      </c>
      <c r="O264" s="607">
        <v>4</v>
      </c>
      <c r="P264" s="542">
        <v>0.1429</v>
      </c>
      <c r="Q264" s="576">
        <v>1568</v>
      </c>
      <c r="R264" s="567">
        <v>1.56</v>
      </c>
      <c r="S264" s="576">
        <v>1568</v>
      </c>
      <c r="T264" s="567">
        <f t="shared" si="10"/>
        <v>1.5571002979145978</v>
      </c>
      <c r="U264" s="686">
        <v>0</v>
      </c>
    </row>
    <row r="265" spans="3:21">
      <c r="J265" s="547" t="s">
        <v>639</v>
      </c>
      <c r="K265" s="534">
        <v>2</v>
      </c>
      <c r="L265" s="534">
        <v>1031</v>
      </c>
      <c r="M265" s="578">
        <v>60</v>
      </c>
      <c r="N265" s="542">
        <v>0.17100000000000001</v>
      </c>
      <c r="O265" s="607">
        <v>5</v>
      </c>
      <c r="P265" s="542">
        <v>8.3299999999999999E-2</v>
      </c>
      <c r="Q265" s="576">
        <v>1489</v>
      </c>
      <c r="R265" s="567">
        <v>1.44</v>
      </c>
      <c r="S265" s="576">
        <v>1489</v>
      </c>
      <c r="T265" s="567">
        <f t="shared" si="10"/>
        <v>1.4442289039767215</v>
      </c>
      <c r="U265" s="686">
        <v>0</v>
      </c>
    </row>
    <row r="266" spans="3:21">
      <c r="J266" s="547" t="s">
        <v>639</v>
      </c>
      <c r="K266" s="534">
        <v>2</v>
      </c>
      <c r="L266" s="534">
        <v>1110</v>
      </c>
      <c r="M266" s="578">
        <v>8</v>
      </c>
      <c r="N266" s="542">
        <v>2.3E-2</v>
      </c>
      <c r="O266" s="607">
        <v>2</v>
      </c>
      <c r="P266" s="542">
        <v>0.25</v>
      </c>
      <c r="Q266" s="576">
        <v>1985</v>
      </c>
      <c r="R266" s="567">
        <v>1.79</v>
      </c>
      <c r="S266" s="576">
        <v>1985</v>
      </c>
      <c r="T266" s="567">
        <f t="shared" si="10"/>
        <v>1.7882882882882882</v>
      </c>
      <c r="U266" s="686">
        <v>0</v>
      </c>
    </row>
    <row r="267" spans="3:21">
      <c r="J267" s="547" t="s">
        <v>639</v>
      </c>
      <c r="K267" s="534">
        <v>2</v>
      </c>
      <c r="L267" s="534">
        <v>1142</v>
      </c>
      <c r="M267" s="578">
        <v>28</v>
      </c>
      <c r="N267" s="542">
        <v>0.08</v>
      </c>
      <c r="O267" s="607">
        <v>5</v>
      </c>
      <c r="P267" s="542">
        <v>0.17860000000000001</v>
      </c>
      <c r="Q267" s="576">
        <v>1542</v>
      </c>
      <c r="R267" s="567">
        <v>1.35</v>
      </c>
      <c r="S267" s="576">
        <v>1542</v>
      </c>
      <c r="T267" s="567">
        <f t="shared" si="10"/>
        <v>1.3502626970227671</v>
      </c>
      <c r="U267" s="686">
        <v>0</v>
      </c>
    </row>
    <row r="268" spans="3:21">
      <c r="J268" s="547" t="s">
        <v>639</v>
      </c>
      <c r="K268" s="534">
        <v>2</v>
      </c>
      <c r="L268" s="534">
        <v>1237</v>
      </c>
      <c r="M268" s="578">
        <v>8</v>
      </c>
      <c r="N268" s="542">
        <v>2.3E-2</v>
      </c>
      <c r="O268" s="607">
        <v>1</v>
      </c>
      <c r="P268" s="542">
        <v>0.125</v>
      </c>
      <c r="Q268" s="576">
        <v>1692</v>
      </c>
      <c r="R268" s="567">
        <v>1.37</v>
      </c>
      <c r="S268" s="576">
        <v>1692</v>
      </c>
      <c r="T268" s="567">
        <f t="shared" si="10"/>
        <v>1.3678253839935328</v>
      </c>
      <c r="U268" s="686">
        <v>0</v>
      </c>
    </row>
    <row r="269" spans="3:21">
      <c r="J269" s="547" t="s">
        <v>640</v>
      </c>
      <c r="K269" s="534">
        <v>2</v>
      </c>
      <c r="L269" s="534">
        <v>1335</v>
      </c>
      <c r="M269" s="578">
        <v>24</v>
      </c>
      <c r="N269" s="542">
        <v>6.9000000000000006E-2</v>
      </c>
      <c r="O269" s="607">
        <v>0</v>
      </c>
      <c r="P269" s="542">
        <v>0</v>
      </c>
      <c r="Q269" s="576">
        <v>1788</v>
      </c>
      <c r="R269" s="567">
        <v>1.34</v>
      </c>
      <c r="S269" s="576">
        <v>1788</v>
      </c>
      <c r="T269" s="567">
        <f t="shared" si="10"/>
        <v>1.3393258426966292</v>
      </c>
      <c r="U269" s="686">
        <v>0</v>
      </c>
    </row>
    <row r="270" spans="3:21">
      <c r="J270" s="548" t="s">
        <v>640</v>
      </c>
      <c r="K270" s="549">
        <v>2</v>
      </c>
      <c r="L270" s="549">
        <v>1480</v>
      </c>
      <c r="M270" s="585">
        <v>24</v>
      </c>
      <c r="N270" s="552">
        <v>6.9000000000000006E-2</v>
      </c>
      <c r="O270" s="641">
        <v>1</v>
      </c>
      <c r="P270" s="552">
        <v>4.1700000000000001E-2</v>
      </c>
      <c r="Q270" s="596">
        <v>2414</v>
      </c>
      <c r="R270" s="568">
        <v>1.63</v>
      </c>
      <c r="S270" s="596">
        <v>2414</v>
      </c>
      <c r="T270" s="568">
        <f t="shared" si="10"/>
        <v>1.6310810810810812</v>
      </c>
      <c r="U270" s="687">
        <v>0</v>
      </c>
    </row>
    <row r="271" spans="3:21">
      <c r="J271" s="547"/>
      <c r="K271" s="534"/>
      <c r="L271" s="534"/>
      <c r="M271" s="578"/>
      <c r="N271" s="542"/>
      <c r="O271" s="607"/>
      <c r="P271" s="542"/>
      <c r="Q271" s="576"/>
      <c r="R271" s="567"/>
      <c r="S271" s="576"/>
      <c r="T271" s="567"/>
      <c r="U271" s="686"/>
    </row>
    <row r="272" spans="3:21">
      <c r="J272" s="638" t="s">
        <v>641</v>
      </c>
      <c r="K272" s="534"/>
      <c r="L272" s="534">
        <v>768</v>
      </c>
      <c r="M272" s="607">
        <v>170</v>
      </c>
      <c r="N272" s="542">
        <v>0.48599999999999999</v>
      </c>
      <c r="O272" s="607">
        <v>10</v>
      </c>
      <c r="P272" s="542">
        <v>5.8799999999999998E-2</v>
      </c>
      <c r="Q272" s="576">
        <v>1272</v>
      </c>
      <c r="R272" s="567">
        <v>1.66</v>
      </c>
      <c r="S272" s="576">
        <v>1272</v>
      </c>
      <c r="T272" s="567">
        <v>1.66</v>
      </c>
      <c r="U272" s="686">
        <v>0</v>
      </c>
    </row>
    <row r="273" spans="10:21">
      <c r="J273" s="638" t="s">
        <v>642</v>
      </c>
      <c r="K273" s="534"/>
      <c r="L273" s="534">
        <v>1067</v>
      </c>
      <c r="M273" s="607">
        <v>132</v>
      </c>
      <c r="N273" s="542">
        <v>0.377</v>
      </c>
      <c r="O273" s="642">
        <v>17</v>
      </c>
      <c r="P273" s="542">
        <v>0.1288</v>
      </c>
      <c r="Q273" s="576">
        <v>1559</v>
      </c>
      <c r="R273" s="567">
        <v>1.46</v>
      </c>
      <c r="S273" s="576">
        <v>1559</v>
      </c>
      <c r="T273" s="567">
        <v>1.46</v>
      </c>
      <c r="U273" s="686">
        <v>0</v>
      </c>
    </row>
    <row r="274" spans="10:21">
      <c r="J274" s="638" t="s">
        <v>643</v>
      </c>
      <c r="K274" s="534"/>
      <c r="L274" s="534">
        <v>1408</v>
      </c>
      <c r="M274" s="607">
        <v>48</v>
      </c>
      <c r="N274" s="542">
        <v>0.13700000000000001</v>
      </c>
      <c r="O274" s="607">
        <v>1</v>
      </c>
      <c r="P274" s="542">
        <v>2.0799999999999999E-2</v>
      </c>
      <c r="Q274" s="576">
        <v>2101</v>
      </c>
      <c r="R274" s="567">
        <v>1.49</v>
      </c>
      <c r="S274" s="576">
        <v>2101</v>
      </c>
      <c r="T274" s="567">
        <v>1.49</v>
      </c>
      <c r="U274" s="686">
        <v>0</v>
      </c>
    </row>
    <row r="275" spans="10:21">
      <c r="J275" s="647" t="s">
        <v>644</v>
      </c>
      <c r="K275" s="557"/>
      <c r="L275" s="557">
        <v>969</v>
      </c>
      <c r="M275" s="648">
        <v>350</v>
      </c>
      <c r="N275" s="559">
        <v>1</v>
      </c>
      <c r="O275" s="648">
        <v>28</v>
      </c>
      <c r="P275" s="559">
        <v>0.08</v>
      </c>
      <c r="Q275" s="620">
        <v>1494</v>
      </c>
      <c r="R275" s="618">
        <v>1.54</v>
      </c>
      <c r="S275" s="620">
        <v>1494</v>
      </c>
      <c r="T275" s="618">
        <v>1.54</v>
      </c>
      <c r="U275" s="685">
        <v>0</v>
      </c>
    </row>
    <row r="276" spans="10:21">
      <c r="J276" s="533"/>
      <c r="K276" s="538"/>
      <c r="L276" s="533"/>
      <c r="M276" s="539"/>
      <c r="N276" s="609"/>
      <c r="O276" s="684"/>
      <c r="P276" s="610"/>
      <c r="Q276" s="610"/>
      <c r="R276" s="610"/>
      <c r="S276" s="610"/>
      <c r="T276" s="610"/>
      <c r="U276" s="610"/>
    </row>
    <row r="277" spans="10:21">
      <c r="T277" s="1235">
        <f>SUMPRODUCT(M262:M270,T262:T270)/SUM(M262:M270)</f>
        <v>1.5604728090804338</v>
      </c>
    </row>
  </sheetData>
  <hyperlinks>
    <hyperlink ref="C22" r:id="rId1" xr:uid="{CE2642C7-F5DB-4580-BB6C-4A8C2DD6F597}"/>
    <hyperlink ref="C42" r:id="rId2" xr:uid="{CB95958D-F0C8-4199-9D32-CA2F23345162}"/>
    <hyperlink ref="C90" r:id="rId3" xr:uid="{295785C0-93A4-498A-B810-0819F0A4D954}"/>
    <hyperlink ref="C116" r:id="rId4" xr:uid="{35F50640-128C-49EC-97BF-2A430035A6E4}"/>
    <hyperlink ref="C139" r:id="rId5" xr:uid="{ED610219-388F-4AAA-A1F5-FAAA14B25E2D}"/>
    <hyperlink ref="C164" r:id="rId6" xr:uid="{EDA0549F-3481-4C2D-B236-A3A4A6022FA3}"/>
    <hyperlink ref="C187" r:id="rId7" xr:uid="{E4C72936-D79B-4BA0-8232-D668CE9717F9}"/>
    <hyperlink ref="C211" r:id="rId8" xr:uid="{5A734FC2-6331-4677-9C47-B8A05A8EE460}"/>
    <hyperlink ref="C235" r:id="rId9" xr:uid="{CB6D3FC6-E019-4EA7-9356-9B55F9EB5C39}"/>
    <hyperlink ref="C258" r:id="rId10" xr:uid="{E2E200F4-F3CC-433E-86B5-5482BC2EB77D}"/>
    <hyperlink ref="C63" r:id="rId11" xr:uid="{EB31D8CF-C205-4AD0-84EA-B6B004D98E7A}"/>
  </hyperlinks>
  <pageMargins left="0.7" right="0.7" top="0.75" bottom="0.75" header="0.3" footer="0.3"/>
  <pageSetup scale="22" fitToHeight="0" orientation="portrait" r:id="rId12"/>
  <ignoredErrors>
    <ignoredError sqref="J25:J32 S67:S82 J94:K107 J120:K126 J143:K147 J168:K176 J191:K199 J216:K224 J241:J248 J262:K270" numberStoredAsText="1"/>
  </ignoredErrors>
  <drawing r:id="rId1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44891-DB41-49D7-9477-711B8CB9C81B}">
  <sheetPr>
    <tabColor theme="4" tint="-0.499984740745262"/>
    <pageSetUpPr fitToPage="1"/>
  </sheetPr>
  <dimension ref="A1:N32"/>
  <sheetViews>
    <sheetView showGridLines="0" view="pageBreakPreview" zoomScale="80" zoomScaleNormal="100" zoomScaleSheetLayoutView="80" workbookViewId="0"/>
  </sheetViews>
  <sheetFormatPr defaultColWidth="9" defaultRowHeight="15.75"/>
  <cols>
    <col min="1" max="1" width="26.5" bestFit="1" customWidth="1"/>
    <col min="14" max="14" width="10.75" bestFit="1" customWidth="1"/>
  </cols>
  <sheetData>
    <row r="1" spans="1:14">
      <c r="A1" s="743"/>
      <c r="B1" s="1061">
        <v>45231</v>
      </c>
      <c r="C1" s="1061">
        <v>45261</v>
      </c>
      <c r="D1" s="1061">
        <v>45292</v>
      </c>
      <c r="E1" s="1061">
        <v>45323</v>
      </c>
      <c r="F1" s="1061">
        <v>45352</v>
      </c>
      <c r="G1" s="1061">
        <v>45383</v>
      </c>
      <c r="H1" s="1061">
        <v>45413</v>
      </c>
      <c r="I1" s="1061">
        <v>45444</v>
      </c>
      <c r="J1" s="1061">
        <v>45474</v>
      </c>
      <c r="K1" s="1061">
        <v>45505</v>
      </c>
      <c r="L1" s="1061">
        <v>45536</v>
      </c>
      <c r="M1" s="1062">
        <v>45566</v>
      </c>
      <c r="N1" s="1062" t="s">
        <v>681</v>
      </c>
    </row>
    <row r="2" spans="1:14">
      <c r="A2" s="745" t="str">
        <f>'Pro Forma'!B5</f>
        <v>INCOME</v>
      </c>
      <c r="B2" s="261"/>
      <c r="C2" s="261"/>
      <c r="D2" s="261"/>
      <c r="E2" s="261"/>
      <c r="F2" s="261"/>
      <c r="G2" s="261"/>
      <c r="H2" s="261"/>
      <c r="I2" s="261"/>
      <c r="J2" s="261"/>
      <c r="K2" s="261"/>
      <c r="L2" s="261"/>
      <c r="M2" s="1063"/>
      <c r="N2" s="1063"/>
    </row>
    <row r="3" spans="1:14">
      <c r="A3" s="161" t="str">
        <f>'Pro Forma'!B6</f>
        <v>Gross Potential Rent</v>
      </c>
      <c r="B3" s="12">
        <f>'Pro Forma'!F6</f>
        <v>418960</v>
      </c>
      <c r="C3" s="12">
        <f>'Pro Forma'!G6</f>
        <v>418960</v>
      </c>
      <c r="D3" s="12">
        <f>'Pro Forma'!H6</f>
        <v>418960</v>
      </c>
      <c r="E3" s="12">
        <f>'Pro Forma'!I6</f>
        <v>418960</v>
      </c>
      <c r="F3" s="12">
        <f>'Pro Forma'!J6</f>
        <v>418960</v>
      </c>
      <c r="G3" s="12">
        <f>'Pro Forma'!K6</f>
        <v>418960</v>
      </c>
      <c r="H3" s="12">
        <f>'Pro Forma'!L6</f>
        <v>418960</v>
      </c>
      <c r="I3" s="12">
        <f>'Pro Forma'!M6</f>
        <v>418960</v>
      </c>
      <c r="J3" s="12">
        <f>'Pro Forma'!N6</f>
        <v>418960</v>
      </c>
      <c r="K3" s="12">
        <f>'Pro Forma'!O6</f>
        <v>418960</v>
      </c>
      <c r="L3" s="12">
        <f>'Pro Forma'!P6</f>
        <v>418960</v>
      </c>
      <c r="M3" s="242">
        <f>'Pro Forma'!Q6</f>
        <v>418960</v>
      </c>
      <c r="N3" s="242">
        <f>'Pro Forma'!R6</f>
        <v>5027520</v>
      </c>
    </row>
    <row r="4" spans="1:14">
      <c r="A4" s="187" t="str">
        <f>'Pro Forma'!B7</f>
        <v>RUBS</v>
      </c>
      <c r="B4" s="156">
        <f>'Pro Forma'!F7</f>
        <v>18358.773333333334</v>
      </c>
      <c r="C4" s="156">
        <f>'Pro Forma'!G7</f>
        <v>18358.773333333334</v>
      </c>
      <c r="D4" s="156">
        <f>'Pro Forma'!H7</f>
        <v>18358.773333333334</v>
      </c>
      <c r="E4" s="156">
        <f>'Pro Forma'!I7</f>
        <v>18358.773333333334</v>
      </c>
      <c r="F4" s="156">
        <f>'Pro Forma'!J7</f>
        <v>18358.773333333334</v>
      </c>
      <c r="G4" s="156">
        <f>'Pro Forma'!K7</f>
        <v>18358.773333333334</v>
      </c>
      <c r="H4" s="156">
        <f>'Pro Forma'!L7</f>
        <v>18358.773333333334</v>
      </c>
      <c r="I4" s="156">
        <f>'Pro Forma'!M7</f>
        <v>18358.773333333334</v>
      </c>
      <c r="J4" s="156">
        <f>'Pro Forma'!N7</f>
        <v>18358.773333333334</v>
      </c>
      <c r="K4" s="156">
        <f>'Pro Forma'!O7</f>
        <v>18358.773333333334</v>
      </c>
      <c r="L4" s="156">
        <f>'Pro Forma'!P7</f>
        <v>18358.773333333334</v>
      </c>
      <c r="M4" s="243">
        <f>'Pro Forma'!Q7</f>
        <v>18358.773333333334</v>
      </c>
      <c r="N4" s="243">
        <f>'Pro Forma'!R7</f>
        <v>220305.28000000006</v>
      </c>
    </row>
    <row r="5" spans="1:14">
      <c r="A5" s="161" t="str">
        <f>'Pro Forma'!B8</f>
        <v>Other Income</v>
      </c>
      <c r="B5" s="12">
        <f>'Pro Forma'!F8</f>
        <v>16686.43</v>
      </c>
      <c r="C5" s="12">
        <f>'Pro Forma'!G8</f>
        <v>16686.43</v>
      </c>
      <c r="D5" s="12">
        <f>'Pro Forma'!H8</f>
        <v>16686.43</v>
      </c>
      <c r="E5" s="12">
        <f>'Pro Forma'!I8</f>
        <v>16686.43</v>
      </c>
      <c r="F5" s="12">
        <f>'Pro Forma'!J8</f>
        <v>16686.43</v>
      </c>
      <c r="G5" s="12">
        <f>'Pro Forma'!K8</f>
        <v>16686.43</v>
      </c>
      <c r="H5" s="12">
        <f>'Pro Forma'!L8</f>
        <v>16686.43</v>
      </c>
      <c r="I5" s="12">
        <f>'Pro Forma'!M8</f>
        <v>16686.43</v>
      </c>
      <c r="J5" s="12">
        <f>'Pro Forma'!N8</f>
        <v>16686.43</v>
      </c>
      <c r="K5" s="12">
        <f>'Pro Forma'!O8</f>
        <v>16686.43</v>
      </c>
      <c r="L5" s="12">
        <f>'Pro Forma'!P8</f>
        <v>16686.43</v>
      </c>
      <c r="M5" s="242">
        <f>'Pro Forma'!Q8</f>
        <v>16686.43</v>
      </c>
      <c r="N5" s="242">
        <f>'Pro Forma'!R8</f>
        <v>200237.15999999995</v>
      </c>
    </row>
    <row r="6" spans="1:14" hidden="1">
      <c r="A6" s="747" t="str">
        <f>'Pro Forma'!B9</f>
        <v>Loss to Lease %</v>
      </c>
      <c r="B6" s="441">
        <f>'Pro Forma'!F9</f>
        <v>0.18</v>
      </c>
      <c r="C6" s="441">
        <f>'Pro Forma'!G9</f>
        <v>0.18</v>
      </c>
      <c r="D6" s="441">
        <f>'Pro Forma'!H9</f>
        <v>0.18</v>
      </c>
      <c r="E6" s="441">
        <f>'Pro Forma'!I9</f>
        <v>0.18</v>
      </c>
      <c r="F6" s="441">
        <f>'Pro Forma'!J9</f>
        <v>0.18</v>
      </c>
      <c r="G6" s="441">
        <f>'Pro Forma'!K9</f>
        <v>0.18</v>
      </c>
      <c r="H6" s="441">
        <f>'Pro Forma'!L9</f>
        <v>0.18</v>
      </c>
      <c r="I6" s="441">
        <f>'Pro Forma'!M9</f>
        <v>0.18</v>
      </c>
      <c r="J6" s="441">
        <f>'Pro Forma'!N9</f>
        <v>0.18</v>
      </c>
      <c r="K6" s="441">
        <f>'Pro Forma'!O9</f>
        <v>0.18</v>
      </c>
      <c r="L6" s="441">
        <f>'Pro Forma'!P9</f>
        <v>0.18</v>
      </c>
      <c r="M6" s="748">
        <f>'Pro Forma'!Q9</f>
        <v>0.18</v>
      </c>
      <c r="N6" s="748">
        <f>'Pro Forma'!R9</f>
        <v>0.17999999999999997</v>
      </c>
    </row>
    <row r="7" spans="1:14" hidden="1">
      <c r="A7" s="749" t="str">
        <f>'Pro Forma'!B10</f>
        <v>Vacancy Loss %</v>
      </c>
      <c r="B7" s="387">
        <f>'Pro Forma'!F10</f>
        <v>0.1</v>
      </c>
      <c r="C7" s="387">
        <f>'Pro Forma'!G10</f>
        <v>0.1</v>
      </c>
      <c r="D7" s="387">
        <f>'Pro Forma'!H10</f>
        <v>0.1</v>
      </c>
      <c r="E7" s="387">
        <f>'Pro Forma'!I10</f>
        <v>0.1</v>
      </c>
      <c r="F7" s="387">
        <f>'Pro Forma'!J10</f>
        <v>0.1</v>
      </c>
      <c r="G7" s="387">
        <f>'Pro Forma'!K10</f>
        <v>0.1</v>
      </c>
      <c r="H7" s="387">
        <f>'Pro Forma'!L10</f>
        <v>0.1</v>
      </c>
      <c r="I7" s="387">
        <f>'Pro Forma'!M10</f>
        <v>0.1</v>
      </c>
      <c r="J7" s="387">
        <f>'Pro Forma'!N10</f>
        <v>0.1</v>
      </c>
      <c r="K7" s="387">
        <f>'Pro Forma'!O10</f>
        <v>0.1</v>
      </c>
      <c r="L7" s="387">
        <f>'Pro Forma'!P10</f>
        <v>0.1</v>
      </c>
      <c r="M7" s="750">
        <f>'Pro Forma'!Q10</f>
        <v>0.1</v>
      </c>
      <c r="N7" s="750">
        <f>'Pro Forma'!R10</f>
        <v>9.9999999999999992E-2</v>
      </c>
    </row>
    <row r="8" spans="1:14" hidden="1">
      <c r="A8" s="751" t="str">
        <f>'Pro Forma'!B11</f>
        <v>Bad Debt %</v>
      </c>
      <c r="B8" s="445">
        <f>'Pro Forma'!F11</f>
        <v>5.0000000000000001E-4</v>
      </c>
      <c r="C8" s="445">
        <f>'Pro Forma'!G11</f>
        <v>5.0000000000000001E-4</v>
      </c>
      <c r="D8" s="445">
        <f>'Pro Forma'!H11</f>
        <v>5.0000000000000001E-4</v>
      </c>
      <c r="E8" s="445">
        <f>'Pro Forma'!I11</f>
        <v>5.0000000000000001E-4</v>
      </c>
      <c r="F8" s="445">
        <f>'Pro Forma'!J11</f>
        <v>5.0000000000000001E-4</v>
      </c>
      <c r="G8" s="445">
        <f>'Pro Forma'!K11</f>
        <v>5.0000000000000001E-4</v>
      </c>
      <c r="H8" s="445">
        <f>'Pro Forma'!L11</f>
        <v>5.0000000000000001E-4</v>
      </c>
      <c r="I8" s="445">
        <f>'Pro Forma'!M11</f>
        <v>5.0000000000000001E-4</v>
      </c>
      <c r="J8" s="445">
        <f>'Pro Forma'!N11</f>
        <v>5.0000000000000001E-4</v>
      </c>
      <c r="K8" s="445">
        <f>'Pro Forma'!O11</f>
        <v>5.0000000000000001E-4</v>
      </c>
      <c r="L8" s="445">
        <f>'Pro Forma'!P11</f>
        <v>5.0000000000000001E-4</v>
      </c>
      <c r="M8" s="752">
        <f>'Pro Forma'!Q11</f>
        <v>5.0000000000000001E-4</v>
      </c>
      <c r="N8" s="752">
        <f>'Pro Forma'!R11</f>
        <v>5.0000000000000012E-4</v>
      </c>
    </row>
    <row r="9" spans="1:14">
      <c r="A9" s="161" t="str">
        <f>'Pro Forma'!B12</f>
        <v>Loss to Lease</v>
      </c>
      <c r="B9" s="12">
        <f>'Pro Forma'!F12</f>
        <v>-81720.936599999986</v>
      </c>
      <c r="C9" s="12">
        <f>'Pro Forma'!G12</f>
        <v>-81720.936599999986</v>
      </c>
      <c r="D9" s="12">
        <f>'Pro Forma'!H12</f>
        <v>-81720.936599999986</v>
      </c>
      <c r="E9" s="12">
        <f>'Pro Forma'!I12</f>
        <v>-81720.936599999986</v>
      </c>
      <c r="F9" s="12">
        <f>'Pro Forma'!J12</f>
        <v>-81720.936599999986</v>
      </c>
      <c r="G9" s="12">
        <f>'Pro Forma'!K12</f>
        <v>-81720.936599999986</v>
      </c>
      <c r="H9" s="12">
        <f>'Pro Forma'!L12</f>
        <v>-81720.936599999986</v>
      </c>
      <c r="I9" s="12">
        <f>'Pro Forma'!M12</f>
        <v>-81720.936599999986</v>
      </c>
      <c r="J9" s="12">
        <f>'Pro Forma'!N12</f>
        <v>-81720.936599999986</v>
      </c>
      <c r="K9" s="12">
        <f>'Pro Forma'!O12</f>
        <v>-81720.936599999986</v>
      </c>
      <c r="L9" s="12">
        <f>'Pro Forma'!P12</f>
        <v>-81720.936599999986</v>
      </c>
      <c r="M9" s="242">
        <f>'Pro Forma'!Q12</f>
        <v>-81720.936599999986</v>
      </c>
      <c r="N9" s="242">
        <f>'Pro Forma'!R12</f>
        <v>-980651.23920000007</v>
      </c>
    </row>
    <row r="10" spans="1:14">
      <c r="A10" s="187" t="str">
        <f>'Pro Forma'!B13</f>
        <v>Vacancy Loss</v>
      </c>
      <c r="B10" s="156">
        <f>'Pro Forma'!F13</f>
        <v>-45400.520333333334</v>
      </c>
      <c r="C10" s="156">
        <f>'Pro Forma'!G13</f>
        <v>-45400.520333333334</v>
      </c>
      <c r="D10" s="156">
        <f>'Pro Forma'!H13</f>
        <v>-45400.520333333334</v>
      </c>
      <c r="E10" s="156">
        <f>'Pro Forma'!I13</f>
        <v>-45400.520333333334</v>
      </c>
      <c r="F10" s="156">
        <f>'Pro Forma'!J13</f>
        <v>-45400.520333333334</v>
      </c>
      <c r="G10" s="156">
        <f>'Pro Forma'!K13</f>
        <v>-45400.520333333334</v>
      </c>
      <c r="H10" s="156">
        <f>'Pro Forma'!L13</f>
        <v>-45400.520333333334</v>
      </c>
      <c r="I10" s="156">
        <f>'Pro Forma'!M13</f>
        <v>-45400.520333333334</v>
      </c>
      <c r="J10" s="156">
        <f>'Pro Forma'!N13</f>
        <v>-45400.520333333334</v>
      </c>
      <c r="K10" s="156">
        <f>'Pro Forma'!O13</f>
        <v>-45400.520333333334</v>
      </c>
      <c r="L10" s="156">
        <f>'Pro Forma'!P13</f>
        <v>-45400.520333333334</v>
      </c>
      <c r="M10" s="243">
        <f>'Pro Forma'!Q13</f>
        <v>-45400.520333333334</v>
      </c>
      <c r="N10" s="243">
        <f>'Pro Forma'!R13</f>
        <v>-544806.24400000006</v>
      </c>
    </row>
    <row r="11" spans="1:14">
      <c r="A11" s="161" t="str">
        <f>'Pro Forma'!B14</f>
        <v>Concessions/Non-Rev</v>
      </c>
      <c r="B11" s="12">
        <f>'Pro Forma'!F14</f>
        <v>-2270.0260166666667</v>
      </c>
      <c r="C11" s="12">
        <f>'Pro Forma'!G14</f>
        <v>-2270.0260166666667</v>
      </c>
      <c r="D11" s="12">
        <f>'Pro Forma'!H14</f>
        <v>-2270.0260166666667</v>
      </c>
      <c r="E11" s="12">
        <f>'Pro Forma'!I14</f>
        <v>-2270.0260166666667</v>
      </c>
      <c r="F11" s="12">
        <f>'Pro Forma'!J14</f>
        <v>-2270.0260166666667</v>
      </c>
      <c r="G11" s="12">
        <f>'Pro Forma'!K14</f>
        <v>-2270.0260166666667</v>
      </c>
      <c r="H11" s="12">
        <f>'Pro Forma'!L14</f>
        <v>-2270.0260166666667</v>
      </c>
      <c r="I11" s="12">
        <f>'Pro Forma'!M14</f>
        <v>-2270.0260166666667</v>
      </c>
      <c r="J11" s="12">
        <f>'Pro Forma'!N14</f>
        <v>-2270.0260166666667</v>
      </c>
      <c r="K11" s="12">
        <f>'Pro Forma'!O14</f>
        <v>-2270.0260166666667</v>
      </c>
      <c r="L11" s="12">
        <f>'Pro Forma'!P14</f>
        <v>-2270.0260166666667</v>
      </c>
      <c r="M11" s="242">
        <f>'Pro Forma'!Q14</f>
        <v>-2270.0260166666667</v>
      </c>
      <c r="N11" s="242">
        <f>'Pro Forma'!R14</f>
        <v>-27240.3122</v>
      </c>
    </row>
    <row r="12" spans="1:14">
      <c r="A12" s="187" t="str">
        <f>'Pro Forma'!B15</f>
        <v>Bad Debt</v>
      </c>
      <c r="B12" s="156">
        <f>'Pro Forma'!F15</f>
        <v>-227.00260166666666</v>
      </c>
      <c r="C12" s="156">
        <f>'Pro Forma'!G15</f>
        <v>-227.00260166666666</v>
      </c>
      <c r="D12" s="156">
        <f>'Pro Forma'!H15</f>
        <v>-227.00260166666666</v>
      </c>
      <c r="E12" s="156">
        <f>'Pro Forma'!I15</f>
        <v>-227.00260166666666</v>
      </c>
      <c r="F12" s="156">
        <f>'Pro Forma'!J15</f>
        <v>-227.00260166666666</v>
      </c>
      <c r="G12" s="156">
        <f>'Pro Forma'!K15</f>
        <v>-227.00260166666666</v>
      </c>
      <c r="H12" s="156">
        <f>'Pro Forma'!L15</f>
        <v>-227.00260166666666</v>
      </c>
      <c r="I12" s="156">
        <f>'Pro Forma'!M15</f>
        <v>-227.00260166666666</v>
      </c>
      <c r="J12" s="156">
        <f>'Pro Forma'!N15</f>
        <v>-227.00260166666666</v>
      </c>
      <c r="K12" s="156">
        <f>'Pro Forma'!O15</f>
        <v>-227.00260166666666</v>
      </c>
      <c r="L12" s="156">
        <f>'Pro Forma'!P15</f>
        <v>-227.00260166666666</v>
      </c>
      <c r="M12" s="243">
        <f>'Pro Forma'!Q15</f>
        <v>-227.00260166666666</v>
      </c>
      <c r="N12" s="243">
        <f>'Pro Forma'!R15</f>
        <v>-2724.0312199999994</v>
      </c>
    </row>
    <row r="13" spans="1:14">
      <c r="A13" s="753" t="str">
        <f>'Pro Forma'!B16</f>
        <v>EFFECTIVE GROSS INCOME</v>
      </c>
      <c r="B13" s="1057">
        <f>'Pro Forma'!F16</f>
        <v>324386.71778166667</v>
      </c>
      <c r="C13" s="1057">
        <f>'Pro Forma'!G16</f>
        <v>324386.71778166667</v>
      </c>
      <c r="D13" s="1057">
        <f>'Pro Forma'!H16</f>
        <v>324386.71778166667</v>
      </c>
      <c r="E13" s="1057">
        <f>'Pro Forma'!I16</f>
        <v>324386.71778166667</v>
      </c>
      <c r="F13" s="1057">
        <f>'Pro Forma'!J16</f>
        <v>324386.71778166667</v>
      </c>
      <c r="G13" s="1057">
        <f>'Pro Forma'!K16</f>
        <v>324386.71778166667</v>
      </c>
      <c r="H13" s="1057">
        <f>'Pro Forma'!L16</f>
        <v>324386.71778166667</v>
      </c>
      <c r="I13" s="1057">
        <f>'Pro Forma'!M16</f>
        <v>324386.71778166667</v>
      </c>
      <c r="J13" s="1057">
        <f>'Pro Forma'!N16</f>
        <v>324386.71778166667</v>
      </c>
      <c r="K13" s="1057">
        <f>'Pro Forma'!O16</f>
        <v>324386.71778166667</v>
      </c>
      <c r="L13" s="1057">
        <f>'Pro Forma'!P16</f>
        <v>324386.71778166667</v>
      </c>
      <c r="M13" s="754">
        <f>'Pro Forma'!Q16</f>
        <v>324386.71778166667</v>
      </c>
      <c r="N13" s="754">
        <f>'Pro Forma'!R16</f>
        <v>3892640.61338</v>
      </c>
    </row>
    <row r="14" spans="1:14">
      <c r="A14" s="729"/>
      <c r="B14" s="11"/>
      <c r="C14" s="11"/>
      <c r="D14" s="11"/>
      <c r="E14" s="11"/>
      <c r="F14" s="11"/>
      <c r="G14" s="11"/>
      <c r="H14" s="6"/>
      <c r="M14" s="725"/>
      <c r="N14" s="725"/>
    </row>
    <row r="15" spans="1:14">
      <c r="A15" s="745" t="str">
        <f>'Pro Forma'!B18</f>
        <v>OPERATING EXPENSES</v>
      </c>
      <c r="B15" s="1058"/>
      <c r="C15" s="1058"/>
      <c r="D15" s="1059"/>
      <c r="E15" s="1059"/>
      <c r="F15" s="1059"/>
      <c r="G15" s="1059"/>
      <c r="H15" s="1060"/>
      <c r="I15" s="1056"/>
      <c r="J15" s="1056"/>
      <c r="K15" s="1056"/>
      <c r="L15" s="1056"/>
      <c r="M15" s="1064"/>
      <c r="N15" s="1064"/>
    </row>
    <row r="16" spans="1:14">
      <c r="A16" s="161" t="str">
        <f>'Pro Forma'!B19</f>
        <v>Payroll</v>
      </c>
      <c r="B16" s="12">
        <f>'Pro Forma'!F19</f>
        <v>24916.666666666668</v>
      </c>
      <c r="C16" s="12">
        <f>'Pro Forma'!G19</f>
        <v>24916.666666666668</v>
      </c>
      <c r="D16" s="12">
        <f>'Pro Forma'!H19</f>
        <v>24916.666666666668</v>
      </c>
      <c r="E16" s="12">
        <f>'Pro Forma'!I19</f>
        <v>24916.666666666668</v>
      </c>
      <c r="F16" s="12">
        <f>'Pro Forma'!J19</f>
        <v>24916.666666666668</v>
      </c>
      <c r="G16" s="12">
        <f>'Pro Forma'!K19</f>
        <v>24916.666666666668</v>
      </c>
      <c r="H16" s="12">
        <f>'Pro Forma'!L19</f>
        <v>24916.666666666668</v>
      </c>
      <c r="I16" s="12">
        <f>'Pro Forma'!M19</f>
        <v>24916.666666666668</v>
      </c>
      <c r="J16" s="12">
        <f>'Pro Forma'!N19</f>
        <v>24916.666666666668</v>
      </c>
      <c r="K16" s="12">
        <f>'Pro Forma'!O19</f>
        <v>24916.666666666668</v>
      </c>
      <c r="L16" s="12">
        <f>'Pro Forma'!P19</f>
        <v>24916.666666666668</v>
      </c>
      <c r="M16" s="242">
        <f>'Pro Forma'!Q19</f>
        <v>24916.666666666668</v>
      </c>
      <c r="N16" s="242">
        <f>'Pro Forma'!R19</f>
        <v>299000</v>
      </c>
    </row>
    <row r="17" spans="1:14">
      <c r="A17" s="187" t="str">
        <f>'Pro Forma'!B20</f>
        <v>Contract Services</v>
      </c>
      <c r="B17" s="156">
        <f>'Pro Forma'!F20</f>
        <v>5083.333333333333</v>
      </c>
      <c r="C17" s="156">
        <f>'Pro Forma'!G20</f>
        <v>5083.333333333333</v>
      </c>
      <c r="D17" s="156">
        <f>'Pro Forma'!H20</f>
        <v>5083.333333333333</v>
      </c>
      <c r="E17" s="156">
        <f>'Pro Forma'!I20</f>
        <v>5083.333333333333</v>
      </c>
      <c r="F17" s="156">
        <f>'Pro Forma'!J20</f>
        <v>5083.333333333333</v>
      </c>
      <c r="G17" s="156">
        <f>'Pro Forma'!K20</f>
        <v>5083.333333333333</v>
      </c>
      <c r="H17" s="156">
        <f>'Pro Forma'!L20</f>
        <v>5083.333333333333</v>
      </c>
      <c r="I17" s="156">
        <f>'Pro Forma'!M20</f>
        <v>5083.333333333333</v>
      </c>
      <c r="J17" s="156">
        <f>'Pro Forma'!N20</f>
        <v>5083.333333333333</v>
      </c>
      <c r="K17" s="156">
        <f>'Pro Forma'!O20</f>
        <v>5083.333333333333</v>
      </c>
      <c r="L17" s="156">
        <f>'Pro Forma'!P20</f>
        <v>5083.333333333333</v>
      </c>
      <c r="M17" s="243">
        <f>'Pro Forma'!Q20</f>
        <v>5083.333333333333</v>
      </c>
      <c r="N17" s="243">
        <f>'Pro Forma'!R20</f>
        <v>61000.000000000007</v>
      </c>
    </row>
    <row r="18" spans="1:14">
      <c r="A18" s="161" t="str">
        <f>'Pro Forma'!B21</f>
        <v>Repairs &amp; Maintenance</v>
      </c>
      <c r="B18" s="12">
        <f>'Pro Forma'!F21</f>
        <v>5583.333333333333</v>
      </c>
      <c r="C18" s="12">
        <f>'Pro Forma'!G21</f>
        <v>5583.333333333333</v>
      </c>
      <c r="D18" s="12">
        <f>'Pro Forma'!H21</f>
        <v>5583.333333333333</v>
      </c>
      <c r="E18" s="12">
        <f>'Pro Forma'!I21</f>
        <v>5583.333333333333</v>
      </c>
      <c r="F18" s="12">
        <f>'Pro Forma'!J21</f>
        <v>5583.333333333333</v>
      </c>
      <c r="G18" s="12">
        <f>'Pro Forma'!K21</f>
        <v>5583.333333333333</v>
      </c>
      <c r="H18" s="12">
        <f>'Pro Forma'!L21</f>
        <v>5583.333333333333</v>
      </c>
      <c r="I18" s="12">
        <f>'Pro Forma'!M21</f>
        <v>5583.333333333333</v>
      </c>
      <c r="J18" s="12">
        <f>'Pro Forma'!N21</f>
        <v>5583.333333333333</v>
      </c>
      <c r="K18" s="12">
        <f>'Pro Forma'!O21</f>
        <v>5583.333333333333</v>
      </c>
      <c r="L18" s="12">
        <f>'Pro Forma'!P21</f>
        <v>5583.333333333333</v>
      </c>
      <c r="M18" s="242">
        <f>'Pro Forma'!Q21</f>
        <v>5583.333333333333</v>
      </c>
      <c r="N18" s="242">
        <f>'Pro Forma'!R21</f>
        <v>67000.000000000015</v>
      </c>
    </row>
    <row r="19" spans="1:14">
      <c r="A19" s="187" t="str">
        <f>'Pro Forma'!B22</f>
        <v>Turnover</v>
      </c>
      <c r="B19" s="156">
        <f>'Pro Forma'!F22</f>
        <v>4166.666666666667</v>
      </c>
      <c r="C19" s="156">
        <f>'Pro Forma'!G22</f>
        <v>4166.666666666667</v>
      </c>
      <c r="D19" s="156">
        <f>'Pro Forma'!H22</f>
        <v>4166.666666666667</v>
      </c>
      <c r="E19" s="156">
        <f>'Pro Forma'!I22</f>
        <v>4166.666666666667</v>
      </c>
      <c r="F19" s="156">
        <f>'Pro Forma'!J22</f>
        <v>4166.666666666667</v>
      </c>
      <c r="G19" s="156">
        <f>'Pro Forma'!K22</f>
        <v>4166.666666666667</v>
      </c>
      <c r="H19" s="156">
        <f>'Pro Forma'!L22</f>
        <v>4166.666666666667</v>
      </c>
      <c r="I19" s="156">
        <f>'Pro Forma'!M22</f>
        <v>4166.666666666667</v>
      </c>
      <c r="J19" s="156">
        <f>'Pro Forma'!N22</f>
        <v>4166.666666666667</v>
      </c>
      <c r="K19" s="156">
        <f>'Pro Forma'!O22</f>
        <v>4166.666666666667</v>
      </c>
      <c r="L19" s="156">
        <f>'Pro Forma'!P22</f>
        <v>4166.666666666667</v>
      </c>
      <c r="M19" s="243">
        <f>'Pro Forma'!Q22</f>
        <v>4166.666666666667</v>
      </c>
      <c r="N19" s="243">
        <f>'Pro Forma'!R22</f>
        <v>49999.999999999993</v>
      </c>
    </row>
    <row r="20" spans="1:14">
      <c r="A20" s="161" t="str">
        <f>'Pro Forma'!B23</f>
        <v>Utilities</v>
      </c>
      <c r="B20" s="12">
        <f>'Pro Forma'!F23</f>
        <v>23408.25</v>
      </c>
      <c r="C20" s="12">
        <f>'Pro Forma'!G23</f>
        <v>23408.25</v>
      </c>
      <c r="D20" s="12">
        <f>'Pro Forma'!H23</f>
        <v>23408.25</v>
      </c>
      <c r="E20" s="12">
        <f>'Pro Forma'!I23</f>
        <v>23408.25</v>
      </c>
      <c r="F20" s="12">
        <f>'Pro Forma'!J23</f>
        <v>23408.25</v>
      </c>
      <c r="G20" s="12">
        <f>'Pro Forma'!K23</f>
        <v>23408.25</v>
      </c>
      <c r="H20" s="12">
        <f>'Pro Forma'!L23</f>
        <v>23408.25</v>
      </c>
      <c r="I20" s="12">
        <f>'Pro Forma'!M23</f>
        <v>23408.25</v>
      </c>
      <c r="J20" s="12">
        <f>'Pro Forma'!N23</f>
        <v>23408.25</v>
      </c>
      <c r="K20" s="12">
        <f>'Pro Forma'!O23</f>
        <v>23408.25</v>
      </c>
      <c r="L20" s="12">
        <f>'Pro Forma'!P23</f>
        <v>23408.25</v>
      </c>
      <c r="M20" s="242">
        <f>'Pro Forma'!Q23</f>
        <v>23408.25</v>
      </c>
      <c r="N20" s="242">
        <f>'Pro Forma'!R23</f>
        <v>280899</v>
      </c>
    </row>
    <row r="21" spans="1:14">
      <c r="A21" s="187" t="str">
        <f>'Pro Forma'!B24</f>
        <v>Administrative</v>
      </c>
      <c r="B21" s="156">
        <f>'Pro Forma'!F24</f>
        <v>3333.3333333333335</v>
      </c>
      <c r="C21" s="156">
        <f>'Pro Forma'!G24</f>
        <v>3333.3333333333335</v>
      </c>
      <c r="D21" s="156">
        <f>'Pro Forma'!H24</f>
        <v>3333.3333333333335</v>
      </c>
      <c r="E21" s="156">
        <f>'Pro Forma'!I24</f>
        <v>3333.3333333333335</v>
      </c>
      <c r="F21" s="156">
        <f>'Pro Forma'!J24</f>
        <v>3333.3333333333335</v>
      </c>
      <c r="G21" s="156">
        <f>'Pro Forma'!K24</f>
        <v>3333.3333333333335</v>
      </c>
      <c r="H21" s="156">
        <f>'Pro Forma'!L24</f>
        <v>3333.3333333333335</v>
      </c>
      <c r="I21" s="156">
        <f>'Pro Forma'!M24</f>
        <v>3333.3333333333335</v>
      </c>
      <c r="J21" s="156">
        <f>'Pro Forma'!N24</f>
        <v>3333.3333333333335</v>
      </c>
      <c r="K21" s="156">
        <f>'Pro Forma'!O24</f>
        <v>3333.3333333333335</v>
      </c>
      <c r="L21" s="156">
        <f>'Pro Forma'!P24</f>
        <v>3333.3333333333335</v>
      </c>
      <c r="M21" s="243">
        <f>'Pro Forma'!Q24</f>
        <v>3333.3333333333335</v>
      </c>
      <c r="N21" s="243">
        <f>'Pro Forma'!R24</f>
        <v>40000</v>
      </c>
    </row>
    <row r="22" spans="1:14">
      <c r="A22" s="161" t="str">
        <f>'Pro Forma'!B25</f>
        <v>Marketing</v>
      </c>
      <c r="B22" s="12">
        <f>'Pro Forma'!F25</f>
        <v>2500</v>
      </c>
      <c r="C22" s="12">
        <f>'Pro Forma'!G25</f>
        <v>2500</v>
      </c>
      <c r="D22" s="12">
        <f>'Pro Forma'!H25</f>
        <v>2500</v>
      </c>
      <c r="E22" s="12">
        <f>'Pro Forma'!I25</f>
        <v>2500</v>
      </c>
      <c r="F22" s="12">
        <f>'Pro Forma'!J25</f>
        <v>2500</v>
      </c>
      <c r="G22" s="12">
        <f>'Pro Forma'!K25</f>
        <v>2500</v>
      </c>
      <c r="H22" s="12">
        <f>'Pro Forma'!L25</f>
        <v>2500</v>
      </c>
      <c r="I22" s="12">
        <f>'Pro Forma'!M25</f>
        <v>2500</v>
      </c>
      <c r="J22" s="12">
        <f>'Pro Forma'!N25</f>
        <v>2500</v>
      </c>
      <c r="K22" s="12">
        <f>'Pro Forma'!O25</f>
        <v>2500</v>
      </c>
      <c r="L22" s="12">
        <f>'Pro Forma'!P25</f>
        <v>2500</v>
      </c>
      <c r="M22" s="242">
        <f>'Pro Forma'!Q25</f>
        <v>2500</v>
      </c>
      <c r="N22" s="242">
        <f>'Pro Forma'!R25</f>
        <v>30000</v>
      </c>
    </row>
    <row r="23" spans="1:14">
      <c r="A23" s="187" t="str">
        <f>'Pro Forma'!B26</f>
        <v>Other</v>
      </c>
      <c r="B23" s="156">
        <f>'Pro Forma'!F26</f>
        <v>83.416666666666671</v>
      </c>
      <c r="C23" s="156">
        <f>'Pro Forma'!G26</f>
        <v>83.416666666666671</v>
      </c>
      <c r="D23" s="156">
        <f>'Pro Forma'!H26</f>
        <v>83.416666666666671</v>
      </c>
      <c r="E23" s="156">
        <f>'Pro Forma'!I26</f>
        <v>83.416666666666671</v>
      </c>
      <c r="F23" s="156">
        <f>'Pro Forma'!J26</f>
        <v>83.416666666666671</v>
      </c>
      <c r="G23" s="156">
        <f>'Pro Forma'!K26</f>
        <v>83.416666666666671</v>
      </c>
      <c r="H23" s="156">
        <f>'Pro Forma'!L26</f>
        <v>83.416666666666671</v>
      </c>
      <c r="I23" s="156">
        <f>'Pro Forma'!M26</f>
        <v>83.416666666666671</v>
      </c>
      <c r="J23" s="156">
        <f>'Pro Forma'!N26</f>
        <v>83.416666666666671</v>
      </c>
      <c r="K23" s="156">
        <f>'Pro Forma'!O26</f>
        <v>83.416666666666671</v>
      </c>
      <c r="L23" s="156">
        <f>'Pro Forma'!P26</f>
        <v>83.416666666666671</v>
      </c>
      <c r="M23" s="243">
        <f>'Pro Forma'!Q26</f>
        <v>83.416666666666671</v>
      </c>
      <c r="N23" s="243">
        <f>'Pro Forma'!R26</f>
        <v>1000.9999999999999</v>
      </c>
    </row>
    <row r="24" spans="1:14">
      <c r="A24" s="161" t="str">
        <f>'Pro Forma'!B27</f>
        <v>Insurance</v>
      </c>
      <c r="B24" s="12">
        <f>'Pro Forma'!F27</f>
        <v>17583.333333333332</v>
      </c>
      <c r="C24" s="12">
        <f>'Pro Forma'!G27</f>
        <v>17583.333333333332</v>
      </c>
      <c r="D24" s="12">
        <f>'Pro Forma'!H27</f>
        <v>17583.333333333332</v>
      </c>
      <c r="E24" s="12">
        <f>'Pro Forma'!I27</f>
        <v>17583.333333333332</v>
      </c>
      <c r="F24" s="12">
        <f>'Pro Forma'!J27</f>
        <v>17583.333333333332</v>
      </c>
      <c r="G24" s="12">
        <f>'Pro Forma'!K27</f>
        <v>17583.333333333332</v>
      </c>
      <c r="H24" s="12">
        <f>'Pro Forma'!L27</f>
        <v>17583.333333333332</v>
      </c>
      <c r="I24" s="12">
        <f>'Pro Forma'!M27</f>
        <v>17583.333333333332</v>
      </c>
      <c r="J24" s="12">
        <f>'Pro Forma'!N27</f>
        <v>17583.333333333332</v>
      </c>
      <c r="K24" s="12">
        <f>'Pro Forma'!O27</f>
        <v>17583.333333333332</v>
      </c>
      <c r="L24" s="12">
        <f>'Pro Forma'!P27</f>
        <v>17583.333333333332</v>
      </c>
      <c r="M24" s="242">
        <f>'Pro Forma'!Q27</f>
        <v>17583.333333333332</v>
      </c>
      <c r="N24" s="242">
        <f>'Pro Forma'!R27</f>
        <v>211000.00000000003</v>
      </c>
    </row>
    <row r="25" spans="1:14">
      <c r="A25" s="187" t="str">
        <f>'Pro Forma'!B28</f>
        <v>Management Fee</v>
      </c>
      <c r="B25" s="156">
        <f>'Pro Forma'!F28</f>
        <v>6487.7343556333335</v>
      </c>
      <c r="C25" s="156">
        <f>'Pro Forma'!G28</f>
        <v>6487.7343556333335</v>
      </c>
      <c r="D25" s="156">
        <f>'Pro Forma'!H28</f>
        <v>6487.7343556333335</v>
      </c>
      <c r="E25" s="156">
        <f>'Pro Forma'!I28</f>
        <v>6487.7343556333335</v>
      </c>
      <c r="F25" s="156">
        <f>'Pro Forma'!J28</f>
        <v>6487.7343556333335</v>
      </c>
      <c r="G25" s="156">
        <f>'Pro Forma'!K28</f>
        <v>6487.7343556333335</v>
      </c>
      <c r="H25" s="156">
        <f>'Pro Forma'!L28</f>
        <v>6487.7343556333335</v>
      </c>
      <c r="I25" s="156">
        <f>'Pro Forma'!M28</f>
        <v>6487.7343556333335</v>
      </c>
      <c r="J25" s="156">
        <f>'Pro Forma'!N28</f>
        <v>6487.7343556333335</v>
      </c>
      <c r="K25" s="156">
        <f>'Pro Forma'!O28</f>
        <v>6487.7343556333335</v>
      </c>
      <c r="L25" s="156">
        <f>'Pro Forma'!P28</f>
        <v>6487.7343556333335</v>
      </c>
      <c r="M25" s="243">
        <f>'Pro Forma'!Q28</f>
        <v>6487.7343556333335</v>
      </c>
      <c r="N25" s="243">
        <f>'Pro Forma'!R28</f>
        <v>77852.81226760002</v>
      </c>
    </row>
    <row r="26" spans="1:14">
      <c r="A26" s="161" t="str">
        <f>'Pro Forma'!B29</f>
        <v>Property Taxes</v>
      </c>
      <c r="B26" s="12">
        <f>'Pro Forma'!F29</f>
        <v>46115.5</v>
      </c>
      <c r="C26" s="12">
        <f>'Pro Forma'!G29</f>
        <v>46115.5</v>
      </c>
      <c r="D26" s="12">
        <f>'Pro Forma'!H29</f>
        <v>46115.5</v>
      </c>
      <c r="E26" s="12">
        <f>'Pro Forma'!I29</f>
        <v>46115.5</v>
      </c>
      <c r="F26" s="12">
        <f>'Pro Forma'!J29</f>
        <v>46115.5</v>
      </c>
      <c r="G26" s="12">
        <f>'Pro Forma'!K29</f>
        <v>46115.5</v>
      </c>
      <c r="H26" s="12">
        <f>'Pro Forma'!L29</f>
        <v>46115.5</v>
      </c>
      <c r="I26" s="12">
        <f>'Pro Forma'!M29</f>
        <v>46115.5</v>
      </c>
      <c r="J26" s="12">
        <f>'Pro Forma'!N29</f>
        <v>46115.5</v>
      </c>
      <c r="K26" s="12">
        <f>'Pro Forma'!O29</f>
        <v>46115.5</v>
      </c>
      <c r="L26" s="12">
        <f>'Pro Forma'!P29</f>
        <v>46115.5</v>
      </c>
      <c r="M26" s="242">
        <f>'Pro Forma'!Q29</f>
        <v>46115.5</v>
      </c>
      <c r="N26" s="242">
        <f>'Pro Forma'!R29</f>
        <v>553386</v>
      </c>
    </row>
    <row r="27" spans="1:14">
      <c r="A27" s="187" t="str">
        <f>'Pro Forma'!B30</f>
        <v>Replacement Reserves</v>
      </c>
      <c r="B27" s="156">
        <f>'Pro Forma'!F30</f>
        <v>4166.666666666667</v>
      </c>
      <c r="C27" s="156">
        <f>'Pro Forma'!G30</f>
        <v>4166.666666666667</v>
      </c>
      <c r="D27" s="156">
        <f>'Pro Forma'!H30</f>
        <v>4166.666666666667</v>
      </c>
      <c r="E27" s="156">
        <f>'Pro Forma'!I30</f>
        <v>4166.666666666667</v>
      </c>
      <c r="F27" s="156">
        <f>'Pro Forma'!J30</f>
        <v>4166.666666666667</v>
      </c>
      <c r="G27" s="156">
        <f>'Pro Forma'!K30</f>
        <v>4166.666666666667</v>
      </c>
      <c r="H27" s="156">
        <f>'Pro Forma'!L30</f>
        <v>4166.666666666667</v>
      </c>
      <c r="I27" s="156">
        <f>'Pro Forma'!M30</f>
        <v>4166.666666666667</v>
      </c>
      <c r="J27" s="156">
        <f>'Pro Forma'!N30</f>
        <v>4166.666666666667</v>
      </c>
      <c r="K27" s="156">
        <f>'Pro Forma'!O30</f>
        <v>4166.666666666667</v>
      </c>
      <c r="L27" s="156">
        <f>'Pro Forma'!P30</f>
        <v>4166.666666666667</v>
      </c>
      <c r="M27" s="243">
        <f>'Pro Forma'!Q30</f>
        <v>4166.666666666667</v>
      </c>
      <c r="N27" s="243">
        <f>'Pro Forma'!R30</f>
        <v>49999.999999999993</v>
      </c>
    </row>
    <row r="28" spans="1:14" hidden="1">
      <c r="A28" s="161" t="str">
        <f>'Pro Forma'!B31</f>
        <v>Franchise Taxes</v>
      </c>
      <c r="B28" s="12">
        <f>'Pro Forma'!F31</f>
        <v>0</v>
      </c>
      <c r="C28" s="12">
        <f>'Pro Forma'!G31</f>
        <v>0</v>
      </c>
      <c r="D28" s="12">
        <f>'Pro Forma'!H31</f>
        <v>0</v>
      </c>
      <c r="E28" s="12">
        <f>'Pro Forma'!I31</f>
        <v>0</v>
      </c>
      <c r="F28" s="12">
        <f>'Pro Forma'!J31</f>
        <v>0</v>
      </c>
      <c r="G28" s="12">
        <f>'Pro Forma'!K31</f>
        <v>0</v>
      </c>
      <c r="H28" s="12">
        <f>'Pro Forma'!L31</f>
        <v>0</v>
      </c>
      <c r="I28" s="12">
        <f>'Pro Forma'!M31</f>
        <v>0</v>
      </c>
      <c r="J28" s="12">
        <f>'Pro Forma'!N31</f>
        <v>0</v>
      </c>
      <c r="K28" s="12">
        <f>'Pro Forma'!O31</f>
        <v>0</v>
      </c>
      <c r="L28" s="12">
        <f>'Pro Forma'!P31</f>
        <v>0</v>
      </c>
      <c r="M28" s="242">
        <f>'Pro Forma'!Q31</f>
        <v>0</v>
      </c>
      <c r="N28" s="242">
        <f>'Pro Forma'!R31</f>
        <v>0</v>
      </c>
    </row>
    <row r="29" spans="1:14">
      <c r="A29" s="753" t="str">
        <f>'Pro Forma'!B32</f>
        <v>TOTAL OPERATING EXPENSES</v>
      </c>
      <c r="B29" s="1057">
        <f>'Pro Forma'!F32</f>
        <v>143428.23435563332</v>
      </c>
      <c r="C29" s="1057">
        <f>'Pro Forma'!G32</f>
        <v>143428.23435563332</v>
      </c>
      <c r="D29" s="1057">
        <f>'Pro Forma'!H32</f>
        <v>143428.23435563332</v>
      </c>
      <c r="E29" s="1057">
        <f>'Pro Forma'!I32</f>
        <v>143428.23435563332</v>
      </c>
      <c r="F29" s="1057">
        <f>'Pro Forma'!J32</f>
        <v>143428.23435563332</v>
      </c>
      <c r="G29" s="1057">
        <f>'Pro Forma'!K32</f>
        <v>143428.23435563332</v>
      </c>
      <c r="H29" s="1057">
        <f>'Pro Forma'!L32</f>
        <v>143428.23435563332</v>
      </c>
      <c r="I29" s="1057">
        <f>'Pro Forma'!M32</f>
        <v>143428.23435563332</v>
      </c>
      <c r="J29" s="1057">
        <f>'Pro Forma'!N32</f>
        <v>143428.23435563332</v>
      </c>
      <c r="K29" s="1057">
        <f>'Pro Forma'!O32</f>
        <v>143428.23435563332</v>
      </c>
      <c r="L29" s="1057">
        <f>'Pro Forma'!P32</f>
        <v>143428.23435563332</v>
      </c>
      <c r="M29" s="754">
        <f>'Pro Forma'!Q32</f>
        <v>143428.23435563332</v>
      </c>
      <c r="N29" s="754">
        <f>'Pro Forma'!R32</f>
        <v>1721138.8122676003</v>
      </c>
    </row>
    <row r="30" spans="1:14">
      <c r="A30" s="161"/>
      <c r="B30" s="155"/>
      <c r="C30" s="155"/>
      <c r="D30" s="155"/>
      <c r="E30" s="155"/>
      <c r="F30" s="155"/>
      <c r="G30" s="155"/>
      <c r="H30" s="155"/>
      <c r="I30" s="155"/>
      <c r="J30" s="155"/>
      <c r="K30" s="155"/>
      <c r="L30" s="155"/>
      <c r="M30" s="757"/>
      <c r="N30" s="757"/>
    </row>
    <row r="31" spans="1:14" ht="16.5" thickBot="1">
      <c r="A31" s="792" t="str">
        <f>'Pro Forma'!B36</f>
        <v>NET OPERATING INCOME</v>
      </c>
      <c r="B31" s="1065">
        <f>'Pro Forma'!F36</f>
        <v>180958.48342603334</v>
      </c>
      <c r="C31" s="1065">
        <f>'Pro Forma'!G36</f>
        <v>180958.48342603334</v>
      </c>
      <c r="D31" s="1065">
        <f>'Pro Forma'!H36</f>
        <v>180958.48342603334</v>
      </c>
      <c r="E31" s="1065">
        <f>'Pro Forma'!I36</f>
        <v>180958.48342603334</v>
      </c>
      <c r="F31" s="1065">
        <f>'Pro Forma'!J36</f>
        <v>180958.48342603334</v>
      </c>
      <c r="G31" s="1065">
        <f>'Pro Forma'!K36</f>
        <v>180958.48342603334</v>
      </c>
      <c r="H31" s="1065">
        <f>'Pro Forma'!L36</f>
        <v>180958.48342603334</v>
      </c>
      <c r="I31" s="1065">
        <f>'Pro Forma'!M36</f>
        <v>180958.48342603334</v>
      </c>
      <c r="J31" s="1065">
        <f>'Pro Forma'!N36</f>
        <v>180958.48342603334</v>
      </c>
      <c r="K31" s="1065">
        <f>'Pro Forma'!O36</f>
        <v>180958.48342603334</v>
      </c>
      <c r="L31" s="1065">
        <f>'Pro Forma'!P36</f>
        <v>180958.48342603334</v>
      </c>
      <c r="M31" s="1066">
        <f>'Pro Forma'!Q36</f>
        <v>180958.48342603334</v>
      </c>
      <c r="N31" s="1066">
        <f>'Pro Forma'!R36</f>
        <v>2171501.8011123999</v>
      </c>
    </row>
    <row r="32" spans="1:14">
      <c r="A32" s="9"/>
      <c r="B32" s="12"/>
      <c r="C32" s="12"/>
      <c r="D32" s="12"/>
      <c r="E32" s="12"/>
      <c r="F32" s="12"/>
      <c r="G32" s="12"/>
      <c r="H32" s="6"/>
    </row>
  </sheetData>
  <pageMargins left="0.7" right="0.7" top="0.75" bottom="0.75" header="0.3" footer="0.3"/>
  <pageSetup scale="77" orientation="landscape" r:id="rId1"/>
  <headerFooter>
    <oddHeader xml:space="preserve">&amp;C&amp;"-,Bold"The Madison Overland Park 
Year 1 Budget&amp;"-,Regular"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C3D23-2C2F-B04B-A59F-46FB55FF333F}">
  <sheetPr codeName="Sheet6">
    <tabColor theme="4"/>
  </sheetPr>
  <dimension ref="B1:W43"/>
  <sheetViews>
    <sheetView workbookViewId="0"/>
  </sheetViews>
  <sheetFormatPr defaultColWidth="11" defaultRowHeight="15.75"/>
  <cols>
    <col min="1" max="1" width="2.5" customWidth="1"/>
    <col min="2" max="2" width="14.125" customWidth="1"/>
    <col min="3" max="3" width="12.375" customWidth="1"/>
    <col min="4" max="8" width="20.875" customWidth="1"/>
    <col min="9" max="9" width="5" customWidth="1"/>
    <col min="10" max="10" width="18.375" customWidth="1"/>
  </cols>
  <sheetData>
    <row r="1" spans="2:23" ht="27" thickBot="1">
      <c r="B1" s="213" t="str">
        <f>'Inputs &amp; Assumptions'!D4&amp;" – Loan Quote Matrix"</f>
        <v>Madison Overland Park – Loan Quote Matrix</v>
      </c>
      <c r="C1" s="95"/>
      <c r="D1" s="95"/>
      <c r="E1" s="95"/>
      <c r="F1" s="95"/>
      <c r="G1" s="95"/>
      <c r="H1" s="95"/>
      <c r="I1" s="95"/>
      <c r="J1" s="95"/>
      <c r="K1" s="95"/>
      <c r="L1" s="95"/>
      <c r="M1" s="95"/>
    </row>
    <row r="3" spans="2:23" ht="18.95" customHeight="1">
      <c r="B3" s="216"/>
      <c r="C3" s="216"/>
      <c r="D3" s="211" t="s">
        <v>682</v>
      </c>
      <c r="E3" s="211" t="s">
        <v>683</v>
      </c>
      <c r="F3" s="211" t="s">
        <v>684</v>
      </c>
      <c r="G3" s="211" t="s">
        <v>685</v>
      </c>
      <c r="H3" s="211" t="s">
        <v>686</v>
      </c>
      <c r="L3" s="25"/>
      <c r="M3" s="25"/>
      <c r="N3" s="25"/>
    </row>
    <row r="4" spans="2:23" ht="15.95" customHeight="1">
      <c r="B4" t="s">
        <v>687</v>
      </c>
      <c r="D4" s="4" t="s">
        <v>688</v>
      </c>
      <c r="E4" s="4"/>
      <c r="F4" s="4"/>
      <c r="G4" s="4"/>
      <c r="H4" s="4" t="s">
        <v>689</v>
      </c>
      <c r="I4" s="217"/>
      <c r="O4" s="1266"/>
      <c r="P4" s="1266"/>
      <c r="Q4" s="1266"/>
      <c r="R4" s="1266"/>
      <c r="S4" s="1266"/>
      <c r="T4" s="1266"/>
      <c r="U4" s="1266"/>
      <c r="V4" s="1266"/>
      <c r="W4" s="1266"/>
    </row>
    <row r="5" spans="2:23">
      <c r="B5" t="s">
        <v>690</v>
      </c>
      <c r="D5" s="3">
        <f>'Cash Flows &amp; Summary'!R9</f>
        <v>23240000.000000004</v>
      </c>
      <c r="E5" s="3"/>
      <c r="F5" s="3"/>
      <c r="G5" s="3"/>
      <c r="H5" s="3">
        <f>'Inputs &amp; Assumptions'!D6*0.8</f>
        <v>35472000</v>
      </c>
      <c r="O5" s="1289"/>
      <c r="P5" s="1289"/>
      <c r="Q5" s="97"/>
      <c r="R5" s="193"/>
      <c r="S5" s="1289"/>
      <c r="T5" s="1289"/>
      <c r="U5" s="1289"/>
      <c r="V5" s="97"/>
      <c r="W5" s="193"/>
    </row>
    <row r="6" spans="2:23">
      <c r="B6" t="s">
        <v>691</v>
      </c>
      <c r="D6" s="4" t="s">
        <v>692</v>
      </c>
      <c r="E6" s="4"/>
      <c r="F6" s="4"/>
      <c r="G6" s="4"/>
      <c r="H6" s="4" t="s">
        <v>692</v>
      </c>
      <c r="J6" s="214" t="s">
        <v>693</v>
      </c>
      <c r="K6" s="215">
        <v>43966</v>
      </c>
      <c r="O6" s="1289"/>
      <c r="P6" s="1289"/>
      <c r="Q6" s="97"/>
      <c r="R6" s="193"/>
      <c r="S6" s="1289"/>
      <c r="T6" s="1289"/>
      <c r="U6" s="1289"/>
      <c r="V6" s="97"/>
      <c r="W6" s="193"/>
    </row>
    <row r="7" spans="2:23" ht="18.75">
      <c r="B7" t="s">
        <v>694</v>
      </c>
      <c r="D7" s="7">
        <v>8.9999999999999993E-3</v>
      </c>
      <c r="E7" s="7"/>
      <c r="F7" s="7"/>
      <c r="G7" s="7"/>
      <c r="H7" s="7"/>
      <c r="J7" s="1293" t="s">
        <v>695</v>
      </c>
      <c r="K7" s="1293"/>
      <c r="O7" s="1289"/>
      <c r="P7" s="1289"/>
      <c r="Q7" s="97"/>
      <c r="R7" s="193"/>
      <c r="S7" s="1289"/>
      <c r="T7" s="1289"/>
      <c r="U7" s="1289"/>
      <c r="V7" s="97"/>
      <c r="W7" s="193"/>
    </row>
    <row r="8" spans="2:23">
      <c r="B8" t="s">
        <v>696</v>
      </c>
      <c r="D8" s="5">
        <v>2.8000000000000001E-2</v>
      </c>
      <c r="E8" s="5"/>
      <c r="F8" s="5"/>
      <c r="G8" s="5"/>
      <c r="H8" s="5"/>
      <c r="J8" t="s">
        <v>697</v>
      </c>
      <c r="K8" s="5">
        <v>1.72E-3</v>
      </c>
      <c r="O8" s="192"/>
      <c r="P8" s="192"/>
      <c r="Q8" s="97"/>
      <c r="R8" s="193"/>
      <c r="S8" s="192"/>
      <c r="T8" s="192"/>
      <c r="U8" s="192"/>
      <c r="V8" s="97"/>
      <c r="W8" s="193"/>
    </row>
    <row r="9" spans="2:23">
      <c r="B9" t="s">
        <v>698</v>
      </c>
      <c r="D9" s="29">
        <f>IF(D6=$J$8,$K$8,IF(D6=$J$11,$K$11,0))+D8</f>
        <v>3.44E-2</v>
      </c>
      <c r="E9" s="29" t="str">
        <f>IF(E5=0,"",IF(E6=$J$8,$K$8,IF(E6=$J$11,$K$11,0))+E8)</f>
        <v/>
      </c>
      <c r="F9" s="29" t="str">
        <f>IF(F5=0,"",IF(F6=$J$8,$K$8,IF(F6=$J$11,$K$11,0))+F8)</f>
        <v/>
      </c>
      <c r="G9" s="29" t="str">
        <f>IF(G5=0,"",IF(G6=$J$8,$K$8,IF(G6=$J$11,$K$11,0))+G8)</f>
        <v/>
      </c>
      <c r="H9" s="29">
        <f>IF(H5=0,"",IF(H6=$J$8,$K$8,IF(H6=$J$11,$K$11,0))+H8)</f>
        <v>6.4000000000000003E-3</v>
      </c>
      <c r="J9" t="s">
        <v>699</v>
      </c>
      <c r="K9" s="5">
        <v>3.0999999999999999E-3</v>
      </c>
      <c r="O9" s="1289"/>
      <c r="P9" s="1289"/>
      <c r="Q9" s="97"/>
      <c r="R9" s="193"/>
      <c r="S9" s="1289"/>
      <c r="T9" s="1289"/>
      <c r="U9" s="1289"/>
      <c r="V9" s="97"/>
      <c r="W9" s="193"/>
    </row>
    <row r="10" spans="2:23">
      <c r="B10" t="s">
        <v>700</v>
      </c>
      <c r="D10" s="42">
        <v>10</v>
      </c>
      <c r="E10" s="42"/>
      <c r="F10" s="42"/>
      <c r="G10" s="42"/>
      <c r="H10" s="42">
        <v>35</v>
      </c>
      <c r="J10" t="s">
        <v>701</v>
      </c>
      <c r="K10" s="5">
        <v>2.3999999999999998E-3</v>
      </c>
      <c r="O10" s="1290"/>
      <c r="P10" s="1290"/>
      <c r="Q10" s="218"/>
      <c r="R10" s="219"/>
      <c r="S10" s="1290"/>
      <c r="T10" s="1290"/>
      <c r="U10" s="1290"/>
      <c r="V10" s="218"/>
      <c r="W10" s="219"/>
    </row>
    <row r="11" spans="2:23">
      <c r="B11" t="s">
        <v>702</v>
      </c>
      <c r="D11" s="4">
        <v>1</v>
      </c>
      <c r="E11" s="4"/>
      <c r="F11" s="4"/>
      <c r="G11" s="4"/>
      <c r="H11" s="4">
        <v>0</v>
      </c>
      <c r="J11" t="s">
        <v>692</v>
      </c>
      <c r="K11" s="5">
        <v>6.4000000000000003E-3</v>
      </c>
      <c r="O11" s="217"/>
      <c r="P11" s="217"/>
      <c r="Q11" s="218"/>
      <c r="R11" s="219"/>
      <c r="S11" s="217"/>
      <c r="T11" s="217"/>
      <c r="U11" s="217"/>
      <c r="V11" s="218"/>
      <c r="W11" s="219"/>
    </row>
    <row r="12" spans="2:23">
      <c r="B12" t="s">
        <v>50</v>
      </c>
      <c r="D12" s="4">
        <v>30</v>
      </c>
      <c r="E12" s="4"/>
      <c r="F12" s="4"/>
      <c r="G12" s="4"/>
      <c r="H12" s="4">
        <v>35</v>
      </c>
      <c r="J12" t="s">
        <v>703</v>
      </c>
      <c r="K12" s="5">
        <v>5.1999999999999998E-3</v>
      </c>
    </row>
    <row r="13" spans="2:23">
      <c r="B13" t="s">
        <v>704</v>
      </c>
      <c r="D13" s="4" t="s">
        <v>705</v>
      </c>
      <c r="E13" s="4"/>
      <c r="F13" s="4"/>
      <c r="G13" s="4"/>
      <c r="H13" s="4" t="s">
        <v>705</v>
      </c>
    </row>
    <row r="14" spans="2:23" ht="18.75">
      <c r="B14" t="s">
        <v>706</v>
      </c>
      <c r="D14" s="4" t="s">
        <v>707</v>
      </c>
      <c r="E14" s="4"/>
      <c r="F14" s="4"/>
      <c r="G14" s="4"/>
      <c r="H14" s="4" t="s">
        <v>708</v>
      </c>
      <c r="J14" s="1293" t="s">
        <v>709</v>
      </c>
      <c r="K14" s="1293"/>
    </row>
    <row r="15" spans="2:23">
      <c r="B15" t="s">
        <v>710</v>
      </c>
      <c r="D15" s="4" t="s">
        <v>711</v>
      </c>
      <c r="E15" s="4"/>
      <c r="F15" s="4"/>
      <c r="G15" s="4"/>
      <c r="H15" s="4" t="s">
        <v>712</v>
      </c>
      <c r="J15" t="s">
        <v>713</v>
      </c>
      <c r="K15" s="5">
        <v>2.1999999999999999E-2</v>
      </c>
      <c r="O15" s="203"/>
      <c r="P15" s="203"/>
      <c r="Q15" s="203"/>
      <c r="R15" s="203"/>
      <c r="S15" s="203"/>
    </row>
    <row r="16" spans="2:23">
      <c r="B16" t="s">
        <v>714</v>
      </c>
      <c r="D16" s="7">
        <v>0.01</v>
      </c>
      <c r="E16" s="7"/>
      <c r="F16" s="7"/>
      <c r="G16" s="7"/>
      <c r="H16" s="7">
        <v>5.4999999999999997E-3</v>
      </c>
      <c r="J16" t="s">
        <v>715</v>
      </c>
      <c r="K16" s="5">
        <v>2.7E-2</v>
      </c>
      <c r="O16" s="220"/>
      <c r="P16" s="221"/>
      <c r="Q16" s="221"/>
      <c r="R16" s="221"/>
      <c r="S16" s="221"/>
    </row>
    <row r="17" spans="2:19">
      <c r="B17" t="s">
        <v>716</v>
      </c>
      <c r="D17" s="7">
        <v>0</v>
      </c>
      <c r="E17" s="7"/>
      <c r="F17" s="7"/>
      <c r="G17" s="7"/>
      <c r="H17" s="7"/>
      <c r="J17" t="s">
        <v>717</v>
      </c>
      <c r="K17" s="5">
        <v>0.03</v>
      </c>
      <c r="O17" s="222"/>
      <c r="P17" s="223"/>
      <c r="Q17" s="223"/>
      <c r="R17" s="224"/>
      <c r="S17" s="224"/>
    </row>
    <row r="18" spans="2:19">
      <c r="B18" t="s">
        <v>718</v>
      </c>
      <c r="D18" s="7">
        <v>0.01</v>
      </c>
      <c r="E18" s="7"/>
      <c r="F18" s="7"/>
      <c r="G18" s="7"/>
      <c r="H18" s="7">
        <v>5.0000000000000001E-4</v>
      </c>
      <c r="J18" t="s">
        <v>719</v>
      </c>
      <c r="K18" s="5">
        <v>3.5000000000000003E-2</v>
      </c>
      <c r="O18" s="222"/>
      <c r="P18" s="223"/>
      <c r="Q18" s="223"/>
      <c r="R18" s="224"/>
      <c r="S18" s="224"/>
    </row>
    <row r="19" spans="2:19">
      <c r="B19" t="s">
        <v>720</v>
      </c>
      <c r="D19" s="8">
        <v>0.75</v>
      </c>
      <c r="E19" s="8"/>
      <c r="F19" s="8"/>
      <c r="G19" s="8"/>
      <c r="H19" s="8">
        <v>0.85</v>
      </c>
      <c r="O19" s="222"/>
      <c r="P19" s="223"/>
      <c r="Q19" s="223"/>
      <c r="R19" s="224"/>
      <c r="S19" s="224"/>
    </row>
    <row r="20" spans="2:19">
      <c r="B20" t="s">
        <v>380</v>
      </c>
      <c r="D20" s="225">
        <v>1.25</v>
      </c>
      <c r="E20" s="225"/>
      <c r="F20" s="225"/>
      <c r="G20" s="225"/>
      <c r="H20" s="225">
        <v>1.1759999999999999</v>
      </c>
      <c r="O20" s="222"/>
      <c r="P20" s="223"/>
      <c r="Q20" s="223"/>
      <c r="R20" s="224"/>
      <c r="S20" s="224"/>
    </row>
    <row r="21" spans="2:19">
      <c r="B21" t="s">
        <v>721</v>
      </c>
      <c r="D21" s="7"/>
      <c r="E21" s="7"/>
      <c r="F21" s="7"/>
      <c r="G21" s="7"/>
      <c r="H21" s="7"/>
      <c r="O21" s="1291"/>
      <c r="P21" s="1292"/>
      <c r="Q21" s="1292"/>
      <c r="R21" s="1292"/>
      <c r="S21" s="1292"/>
    </row>
    <row r="22" spans="2:19">
      <c r="B22" t="s">
        <v>109</v>
      </c>
      <c r="D22" s="226">
        <v>300</v>
      </c>
      <c r="E22" s="226"/>
      <c r="F22" s="226"/>
      <c r="G22" s="226"/>
      <c r="H22" s="226"/>
      <c r="O22" s="1291"/>
      <c r="P22" s="1292"/>
      <c r="Q22" s="1292"/>
      <c r="R22" s="1292"/>
      <c r="S22" s="1292"/>
    </row>
    <row r="23" spans="2:19">
      <c r="B23" t="s">
        <v>722</v>
      </c>
      <c r="D23" s="204">
        <f>IF(D5=0,"", PMT(D9/12,D12*12,-D5)*12)</f>
        <v>1242974.1145601636</v>
      </c>
      <c r="E23" s="204" t="str">
        <f>IF(E5=0,"", PMT(E9/12,E12*12,-E5)*12)</f>
        <v/>
      </c>
      <c r="F23" s="204" t="str">
        <f>IF(F5=0,"", PMT(F9/12,F12*12,-F5)*12)</f>
        <v/>
      </c>
      <c r="G23" s="204" t="str">
        <f>IF(G5=0,"", PMT(G9/12,G12*12,-G5)*12)</f>
        <v/>
      </c>
      <c r="H23" s="204">
        <f>IF(H5=0,"", PMT(H9/12,H12*12,-H5)*12)</f>
        <v>1131499.4082592567</v>
      </c>
      <c r="O23" s="1291"/>
      <c r="P23" s="1292"/>
      <c r="Q23" s="1292"/>
      <c r="R23" s="1292"/>
      <c r="S23" s="1292"/>
    </row>
    <row r="24" spans="2:19" ht="50.1" customHeight="1">
      <c r="B24" s="50" t="s">
        <v>723</v>
      </c>
      <c r="D24" s="212"/>
      <c r="E24" s="212"/>
      <c r="F24" s="212"/>
      <c r="G24" s="212"/>
      <c r="H24" s="212" t="s">
        <v>724</v>
      </c>
      <c r="O24" s="1291"/>
      <c r="P24" s="1292"/>
      <c r="Q24" s="1292"/>
      <c r="R24" s="1292"/>
      <c r="S24" s="1292"/>
    </row>
    <row r="25" spans="2:19" ht="18.75">
      <c r="B25" s="1288" t="s">
        <v>725</v>
      </c>
      <c r="C25" s="1288"/>
      <c r="D25" s="1288"/>
      <c r="E25" s="1288"/>
      <c r="F25" s="1288"/>
      <c r="G25" s="1288"/>
      <c r="H25" s="1288"/>
      <c r="O25" s="222"/>
      <c r="P25" s="212"/>
      <c r="Q25" s="212"/>
      <c r="R25" s="212"/>
      <c r="S25" s="212"/>
    </row>
    <row r="26" spans="2:19" ht="15.95" customHeight="1">
      <c r="B26" s="28" t="s">
        <v>172</v>
      </c>
      <c r="C26" s="28"/>
      <c r="D26" s="97">
        <f>'Inputs &amp; Assumptions'!D6</f>
        <v>44340000</v>
      </c>
      <c r="E26" s="97" t="str">
        <f>IF(E$5=0,"",$D$26)</f>
        <v/>
      </c>
      <c r="F26" s="97" t="str">
        <f>IF(F5=0,"",$D$26)</f>
        <v/>
      </c>
      <c r="G26" s="97" t="str">
        <f>IF(G5=0,"",$D$26)</f>
        <v/>
      </c>
      <c r="H26" s="97">
        <f>IF(H5=0,"",$D$26)</f>
        <v>44340000</v>
      </c>
      <c r="O26" s="222"/>
      <c r="P26" s="212"/>
      <c r="Q26" s="212"/>
      <c r="R26" s="212"/>
      <c r="S26" s="212"/>
    </row>
    <row r="27" spans="2:19" ht="15.95" customHeight="1">
      <c r="B27" s="28" t="s">
        <v>372</v>
      </c>
      <c r="C27" s="28"/>
      <c r="D27" s="97">
        <f>'Inputs &amp; Assumptions'!V38*'Inputs &amp; Assumptions'!V39+'Inputs &amp; Assumptions'!V40</f>
        <v>1299500</v>
      </c>
      <c r="E27" s="97" t="str">
        <f>IF(E$5=0,"",$D$27)</f>
        <v/>
      </c>
      <c r="F27" s="97" t="str">
        <f>IF(F$5=0,"",$D$27)</f>
        <v/>
      </c>
      <c r="G27" s="97" t="str">
        <f>IF(G$5=0,"",$D$27)</f>
        <v/>
      </c>
      <c r="H27" s="97">
        <f>IF(H$5=0,"",$D$27)</f>
        <v>1299500</v>
      </c>
      <c r="O27" s="222"/>
      <c r="P27" s="212"/>
      <c r="Q27" s="212"/>
      <c r="R27" s="212"/>
      <c r="S27" s="212"/>
    </row>
    <row r="28" spans="2:19" ht="15.95" customHeight="1">
      <c r="B28" s="28" t="s">
        <v>726</v>
      </c>
      <c r="C28" s="227"/>
      <c r="D28" s="97" t="e">
        <f>'Inputs &amp; Assumptions'!#REF!-'Inputs &amp; Assumptions'!$F$28-'Inputs &amp; Assumptions'!$F$29-'Inputs &amp; Assumptions'!$F$30-'Inputs &amp; Assumptions'!$F$31-'Inputs &amp; Assumptions'!$F$32-'Inputs &amp; Assumptions'!$F$33-'Inputs &amp; Assumptions'!$F$34-'Inputs &amp; Assumptions'!$F$35-'Inputs &amp; Assumptions'!$F$36-'Inputs &amp; Assumptions'!#REF!-'Inputs &amp; Assumptions'!$F$38-'Inputs &amp; Assumptions'!#REF!-D22*Unit_Count</f>
        <v>#REF!</v>
      </c>
      <c r="E28" s="97" t="str">
        <f>IF(E5=0,"", 'Inputs &amp; Assumptions'!#REF!-'Inputs &amp; Assumptions'!$F$28-'Inputs &amp; Assumptions'!$F$29-'Inputs &amp; Assumptions'!$F$30-'Inputs &amp; Assumptions'!$F$31-'Inputs &amp; Assumptions'!$F$32-'Inputs &amp; Assumptions'!$F$33-'Inputs &amp; Assumptions'!$F$34-'Inputs &amp; Assumptions'!$F$35-'Inputs &amp; Assumptions'!$F$36-'Inputs &amp; Assumptions'!#REF!-'Inputs &amp; Assumptions'!$F$38-'Inputs &amp; Assumptions'!#REF!-E22*Unit_Count)</f>
        <v/>
      </c>
      <c r="F28" s="97" t="str">
        <f>IF(F5=0,"", 'Inputs &amp; Assumptions'!#REF!-'Inputs &amp; Assumptions'!$F$28-'Inputs &amp; Assumptions'!$F$29-'Inputs &amp; Assumptions'!$F$30-'Inputs &amp; Assumptions'!$F$31-'Inputs &amp; Assumptions'!$F$32-'Inputs &amp; Assumptions'!$F$33-'Inputs &amp; Assumptions'!$F$34-'Inputs &amp; Assumptions'!$F$35-'Inputs &amp; Assumptions'!$F$36-'Inputs &amp; Assumptions'!#REF!-'Inputs &amp; Assumptions'!$F$38-'Inputs &amp; Assumptions'!#REF!-F22*Unit_Count)</f>
        <v/>
      </c>
      <c r="G28" s="97" t="str">
        <f>IF(G5=0,"", 'Inputs &amp; Assumptions'!#REF!-'Inputs &amp; Assumptions'!$F$28-'Inputs &amp; Assumptions'!$F$29-'Inputs &amp; Assumptions'!$F$30-'Inputs &amp; Assumptions'!$F$31-'Inputs &amp; Assumptions'!$F$32-'Inputs &amp; Assumptions'!$F$33-'Inputs &amp; Assumptions'!$F$34-'Inputs &amp; Assumptions'!$F$35-'Inputs &amp; Assumptions'!$F$36-'Inputs &amp; Assumptions'!#REF!-'Inputs &amp; Assumptions'!$F$38-'Inputs &amp; Assumptions'!#REF!-G22*Unit_Count)</f>
        <v/>
      </c>
      <c r="H28" s="97" t="e">
        <f>IF(H5=0,"", 'Inputs &amp; Assumptions'!#REF!-'Inputs &amp; Assumptions'!$F$28-'Inputs &amp; Assumptions'!$F$29-'Inputs &amp; Assumptions'!$F$30-'Inputs &amp; Assumptions'!$F$31-'Inputs &amp; Assumptions'!$F$32-'Inputs &amp; Assumptions'!$F$33-'Inputs &amp; Assumptions'!$F$34-'Inputs &amp; Assumptions'!$F$35-'Inputs &amp; Assumptions'!$F$36-'Inputs &amp; Assumptions'!#REF!-'Inputs &amp; Assumptions'!$F$38-'Inputs &amp; Assumptions'!#REF!-H22*Unit_Count)</f>
        <v>#REF!</v>
      </c>
      <c r="O28" s="222"/>
      <c r="P28" s="212"/>
      <c r="Q28" s="212"/>
      <c r="R28" s="212"/>
      <c r="S28" s="212"/>
    </row>
    <row r="29" spans="2:19" ht="15.95" customHeight="1">
      <c r="B29" s="28" t="s">
        <v>727</v>
      </c>
      <c r="C29" s="227"/>
      <c r="D29" s="228" t="e">
        <f>D28/D26</f>
        <v>#REF!</v>
      </c>
      <c r="E29" s="228" t="str">
        <f>IFERROR(E28/E26,"")</f>
        <v/>
      </c>
      <c r="F29" s="228" t="str">
        <f>IFERROR(F28/F26,"")</f>
        <v/>
      </c>
      <c r="G29" s="228" t="str">
        <f>IFERROR(G28/G26,"")</f>
        <v/>
      </c>
      <c r="H29" s="228" t="str">
        <f>IFERROR(H28/H26,"")</f>
        <v/>
      </c>
      <c r="O29" s="222"/>
      <c r="P29" s="212"/>
      <c r="Q29" s="212"/>
      <c r="R29" s="212"/>
      <c r="S29" s="212"/>
    </row>
    <row r="30" spans="2:19" ht="15.95" customHeight="1">
      <c r="B30" s="28" t="s">
        <v>728</v>
      </c>
      <c r="C30" s="227"/>
      <c r="D30" s="229">
        <v>5.5E-2</v>
      </c>
      <c r="E30" s="228" t="str">
        <f>IF(E5=0,"",$D$30)</f>
        <v/>
      </c>
      <c r="F30" s="228" t="str">
        <f>IF(F5=0,"",$D$30)</f>
        <v/>
      </c>
      <c r="G30" s="228" t="str">
        <f>IF(G5=0,"",$D$30)</f>
        <v/>
      </c>
      <c r="H30" s="228">
        <f>IF(H5=0,"",$D$30)</f>
        <v>5.5E-2</v>
      </c>
      <c r="O30" s="222"/>
      <c r="P30" s="212"/>
      <c r="Q30" s="212"/>
      <c r="R30" s="212"/>
      <c r="S30" s="212"/>
    </row>
    <row r="31" spans="2:19" ht="15.95" customHeight="1">
      <c r="B31" s="28" t="s">
        <v>729</v>
      </c>
      <c r="C31" s="227"/>
      <c r="D31" s="97" t="e">
        <f>D28/D30</f>
        <v>#REF!</v>
      </c>
      <c r="E31" s="97" t="str">
        <f>IFERROR(E28/E30,"")</f>
        <v/>
      </c>
      <c r="F31" s="97" t="str">
        <f>IFERROR(F28/F30,"")</f>
        <v/>
      </c>
      <c r="G31" s="97" t="str">
        <f>IFERROR(G28/G30,"")</f>
        <v/>
      </c>
      <c r="H31" s="97" t="str">
        <f>IFERROR(H28/H30,"")</f>
        <v/>
      </c>
      <c r="O31" s="222"/>
      <c r="P31" s="212"/>
      <c r="Q31" s="212"/>
      <c r="R31" s="212"/>
      <c r="S31" s="212"/>
    </row>
    <row r="32" spans="2:19" ht="15.95" customHeight="1">
      <c r="B32" t="s">
        <v>730</v>
      </c>
      <c r="D32" s="230">
        <f>D5/(D26+D27)</f>
        <v>0.50920803251569369</v>
      </c>
      <c r="E32" s="230">
        <f>IFERROR(E5/(E26+E27),0)</f>
        <v>0</v>
      </c>
      <c r="F32" s="230">
        <f>IFERROR(F5/(F26+F27),0)</f>
        <v>0</v>
      </c>
      <c r="G32" s="230">
        <f>IFERROR(G5/(G26+G27),0)</f>
        <v>0</v>
      </c>
      <c r="H32" s="230">
        <f>IFERROR(H5/(H26+H27),0)</f>
        <v>0.77722148577438399</v>
      </c>
      <c r="O32" s="222"/>
      <c r="P32" s="212"/>
      <c r="Q32" s="212"/>
      <c r="R32" s="212"/>
      <c r="S32" s="212"/>
    </row>
    <row r="33" spans="2:8">
      <c r="B33" t="s">
        <v>731</v>
      </c>
      <c r="D33" s="231" t="e">
        <f>D28/D23</f>
        <v>#REF!</v>
      </c>
      <c r="E33" s="231" t="str">
        <f>IFERROR(E28/E23,"")</f>
        <v/>
      </c>
      <c r="F33" s="231" t="str">
        <f>IFERROR(F28/F23,"")</f>
        <v/>
      </c>
      <c r="G33" s="231" t="str">
        <f>IFERROR(G28/G23,"")</f>
        <v/>
      </c>
      <c r="H33" s="231" t="str">
        <f>IFERROR(H28/H23,"")</f>
        <v/>
      </c>
    </row>
    <row r="34" spans="2:8">
      <c r="B34" s="28" t="s">
        <v>732</v>
      </c>
      <c r="D34" s="230" t="e">
        <f>D28/D5</f>
        <v>#REF!</v>
      </c>
      <c r="E34" s="230" t="str">
        <f>IFERROR(E28/E5,"")</f>
        <v/>
      </c>
      <c r="F34" s="230" t="str">
        <f>IFERROR(F28/F5,"")</f>
        <v/>
      </c>
      <c r="G34" s="230" t="str">
        <f>IFERROR(G28/G5,"")</f>
        <v/>
      </c>
      <c r="H34" s="230" t="str">
        <f>IFERROR(H28/H5,"")</f>
        <v/>
      </c>
    </row>
    <row r="35" spans="2:8" ht="50.1" customHeight="1">
      <c r="B35" s="50" t="s">
        <v>733</v>
      </c>
      <c r="C35" s="50"/>
      <c r="D35" s="212"/>
      <c r="E35" s="212"/>
      <c r="F35" s="212"/>
      <c r="G35" s="212"/>
      <c r="H35" s="212"/>
    </row>
    <row r="36" spans="2:8">
      <c r="D36" s="11"/>
      <c r="E36" s="11"/>
      <c r="F36" s="11"/>
      <c r="G36" s="11"/>
      <c r="H36" s="11"/>
    </row>
    <row r="37" spans="2:8">
      <c r="D37" s="11"/>
      <c r="E37" s="11"/>
      <c r="F37" s="11"/>
      <c r="G37" s="11"/>
      <c r="H37" s="11"/>
    </row>
    <row r="38" spans="2:8">
      <c r="D38" s="11"/>
      <c r="E38" s="11"/>
      <c r="F38" s="11"/>
      <c r="G38" s="11"/>
      <c r="H38" s="11"/>
    </row>
    <row r="39" spans="2:8">
      <c r="D39" s="11"/>
      <c r="E39" s="11"/>
      <c r="F39" s="11"/>
      <c r="G39" s="11"/>
      <c r="H39" s="11"/>
    </row>
    <row r="40" spans="2:8">
      <c r="D40" s="11"/>
      <c r="E40" s="11"/>
      <c r="F40" s="11"/>
      <c r="G40" s="11"/>
      <c r="H40" s="11"/>
    </row>
    <row r="41" spans="2:8">
      <c r="D41" s="11"/>
      <c r="E41" s="11"/>
      <c r="F41" s="11"/>
      <c r="G41" s="11"/>
      <c r="H41" s="11"/>
    </row>
    <row r="42" spans="2:8">
      <c r="D42" s="11"/>
      <c r="E42" s="11"/>
      <c r="F42" s="11"/>
      <c r="G42" s="11"/>
      <c r="H42" s="11"/>
    </row>
    <row r="43" spans="2:8">
      <c r="D43" s="11"/>
      <c r="E43" s="11"/>
      <c r="F43" s="11"/>
      <c r="G43" s="11"/>
      <c r="H43" s="11"/>
    </row>
  </sheetData>
  <mergeCells count="19">
    <mergeCell ref="O4:W4"/>
    <mergeCell ref="O5:P5"/>
    <mergeCell ref="S5:U5"/>
    <mergeCell ref="O6:P6"/>
    <mergeCell ref="S6:U6"/>
    <mergeCell ref="B25:H25"/>
    <mergeCell ref="O7:P7"/>
    <mergeCell ref="S7:U7"/>
    <mergeCell ref="O9:P9"/>
    <mergeCell ref="S9:U9"/>
    <mergeCell ref="O10:P10"/>
    <mergeCell ref="S10:U10"/>
    <mergeCell ref="O21:O24"/>
    <mergeCell ref="P21:P24"/>
    <mergeCell ref="Q21:Q24"/>
    <mergeCell ref="R21:R24"/>
    <mergeCell ref="S21:S24"/>
    <mergeCell ref="J7:K7"/>
    <mergeCell ref="J14:K14"/>
  </mergeCells>
  <conditionalFormatting sqref="D32">
    <cfRule type="cellIs" dxfId="19" priority="19" operator="greaterThan">
      <formula>$D$19</formula>
    </cfRule>
  </conditionalFormatting>
  <conditionalFormatting sqref="D33">
    <cfRule type="cellIs" dxfId="18" priority="14" operator="lessThan">
      <formula>$D$20</formula>
    </cfRule>
  </conditionalFormatting>
  <conditionalFormatting sqref="D34">
    <cfRule type="cellIs" dxfId="17" priority="9" operator="lessThan">
      <formula>$D$21</formula>
    </cfRule>
  </conditionalFormatting>
  <conditionalFormatting sqref="D31:H31">
    <cfRule type="cellIs" dxfId="16" priority="20" operator="lessThan">
      <formula>$D$26</formula>
    </cfRule>
  </conditionalFormatting>
  <conditionalFormatting sqref="E32">
    <cfRule type="cellIs" dxfId="15" priority="18" operator="greaterThan">
      <formula>$E$19</formula>
    </cfRule>
  </conditionalFormatting>
  <conditionalFormatting sqref="E33">
    <cfRule type="cellIs" dxfId="14" priority="13" operator="lessThan">
      <formula>$E$20</formula>
    </cfRule>
  </conditionalFormatting>
  <conditionalFormatting sqref="E34">
    <cfRule type="cellIs" dxfId="13" priority="8" operator="lessThan">
      <formula>$E$21</formula>
    </cfRule>
  </conditionalFormatting>
  <conditionalFormatting sqref="E32:G32">
    <cfRule type="cellIs" dxfId="12" priority="1" operator="equal">
      <formula>0</formula>
    </cfRule>
  </conditionalFormatting>
  <conditionalFormatting sqref="F32">
    <cfRule type="cellIs" dxfId="11" priority="17" operator="greaterThan">
      <formula>$F$19</formula>
    </cfRule>
  </conditionalFormatting>
  <conditionalFormatting sqref="F33">
    <cfRule type="cellIs" dxfId="10" priority="12" operator="lessThan">
      <formula>$F$20</formula>
    </cfRule>
  </conditionalFormatting>
  <conditionalFormatting sqref="F34">
    <cfRule type="cellIs" dxfId="9" priority="7" operator="lessThan">
      <formula>$F$21</formula>
    </cfRule>
  </conditionalFormatting>
  <conditionalFormatting sqref="G32">
    <cfRule type="cellIs" dxfId="8" priority="16" operator="greaterThan">
      <formula>$G$19</formula>
    </cfRule>
  </conditionalFormatting>
  <conditionalFormatting sqref="G33">
    <cfRule type="cellIs" dxfId="7" priority="11" operator="lessThan">
      <formula>$G$20</formula>
    </cfRule>
  </conditionalFormatting>
  <conditionalFormatting sqref="G34">
    <cfRule type="cellIs" dxfId="6" priority="6" operator="lessThan">
      <formula>$G$21</formula>
    </cfRule>
  </conditionalFormatting>
  <conditionalFormatting sqref="H32">
    <cfRule type="cellIs" dxfId="5" priority="4" operator="equal">
      <formula>0</formula>
    </cfRule>
    <cfRule type="cellIs" dxfId="4" priority="15" operator="greaterThan">
      <formula>$H$19</formula>
    </cfRule>
  </conditionalFormatting>
  <conditionalFormatting sqref="H33">
    <cfRule type="cellIs" dxfId="3" priority="10" operator="lessThan">
      <formula>$H$20</formula>
    </cfRule>
  </conditionalFormatting>
  <conditionalFormatting sqref="H34">
    <cfRule type="cellIs" dxfId="2" priority="5" operator="lessThan">
      <formula>$H$21</formula>
    </cfRule>
  </conditionalFormatting>
  <dataValidations count="2">
    <dataValidation type="list" allowBlank="1" showInputMessage="1" showErrorMessage="1" sqref="D13:H13" xr:uid="{C6836598-6271-964A-ACF8-8BDCCC3C08A4}">
      <formula1>"Fixed,Floating,Hybrid"</formula1>
    </dataValidation>
    <dataValidation type="list" allowBlank="1" showInputMessage="1" showErrorMessage="1" sqref="D6:H6" xr:uid="{87DF5E56-C2AA-C448-A5BA-57BC97F70255}">
      <formula1>$J$8:$J$12</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38FC9-5070-F14F-B2BD-9E3D3FD1DC25}">
  <sheetPr codeName="Sheet1">
    <tabColor theme="7" tint="0.39997558519241921"/>
  </sheetPr>
  <dimension ref="A1:AF78"/>
  <sheetViews>
    <sheetView showGridLines="0" topLeftCell="A25" zoomScale="80" zoomScaleNormal="80" workbookViewId="0">
      <selection activeCell="V40" sqref="V40"/>
    </sheetView>
  </sheetViews>
  <sheetFormatPr defaultColWidth="10.875" defaultRowHeight="15.75"/>
  <cols>
    <col min="1" max="1" width="1.75" style="2" customWidth="1"/>
    <col min="2" max="2" width="2.5" style="2" customWidth="1"/>
    <col min="3" max="3" width="23.375" style="2" customWidth="1"/>
    <col min="4" max="4" width="13.625" style="2" customWidth="1"/>
    <col min="5" max="5" width="9.125" style="2" customWidth="1"/>
    <col min="6" max="6" width="15.375" style="2" customWidth="1"/>
    <col min="7" max="7" width="14.75" style="2" customWidth="1"/>
    <col min="8" max="8" width="9.125" style="2" customWidth="1"/>
    <col min="9" max="9" width="7.375" style="2" customWidth="1"/>
    <col min="10" max="10" width="14.125" style="2" customWidth="1"/>
    <col min="11" max="11" width="1.625" style="2" customWidth="1"/>
    <col min="12" max="12" width="15" style="2" bestFit="1" customWidth="1"/>
    <col min="13" max="13" width="10.625" style="2" bestFit="1" customWidth="1"/>
    <col min="14" max="14" width="10.625" style="2" customWidth="1"/>
    <col min="15" max="16" width="11.25" style="2" customWidth="1"/>
    <col min="17" max="17" width="13.875" style="2" customWidth="1"/>
    <col min="18" max="18" width="10" style="2" bestFit="1" customWidth="1"/>
    <col min="19" max="19" width="1.5" style="259" customWidth="1"/>
    <col min="20" max="20" width="2.5" style="2" customWidth="1"/>
    <col min="21" max="21" width="20" style="2" customWidth="1"/>
    <col min="22" max="22" width="12" style="2" bestFit="1" customWidth="1"/>
    <col min="23" max="23" width="11.125" style="2" bestFit="1" customWidth="1"/>
    <col min="24" max="24" width="1.625" style="2" customWidth="1"/>
    <col min="25" max="25" width="23.125" style="2" customWidth="1"/>
    <col min="26" max="26" width="1.5" style="2" customWidth="1"/>
    <col min="27" max="27" width="10" style="4" bestFit="1" customWidth="1"/>
    <col min="28" max="16384" width="10.875" style="2"/>
  </cols>
  <sheetData>
    <row r="1" spans="2:32" s="344" customFormat="1" ht="42" customHeight="1" thickBot="1">
      <c r="B1" s="345" t="str">
        <f>D4&amp;" – Inputs and Assumptions"</f>
        <v>Madison Overland Park – Inputs and Assumptions</v>
      </c>
      <c r="C1" s="345"/>
      <c r="D1" s="346"/>
      <c r="E1" s="346"/>
      <c r="F1" s="347"/>
      <c r="G1" s="347"/>
      <c r="H1" s="347"/>
      <c r="I1" s="347"/>
      <c r="J1" s="347"/>
      <c r="K1" s="347"/>
      <c r="L1" s="347"/>
      <c r="M1" s="347"/>
      <c r="N1" s="347"/>
      <c r="O1" s="347"/>
      <c r="P1" s="347"/>
      <c r="Q1" s="347"/>
      <c r="R1" s="347"/>
      <c r="S1" s="356"/>
      <c r="T1" s="347"/>
      <c r="U1" s="347"/>
      <c r="V1" s="347"/>
      <c r="W1" s="347"/>
      <c r="X1" s="347"/>
      <c r="Y1" s="347"/>
      <c r="Z1" s="347"/>
      <c r="AA1" s="898"/>
      <c r="AB1" s="347"/>
      <c r="AC1" s="347"/>
    </row>
    <row r="2" spans="2:32" ht="16.5" thickBot="1">
      <c r="P2" s="357" t="s">
        <v>0</v>
      </c>
      <c r="Q2" s="357"/>
      <c r="R2" s="358">
        <v>0</v>
      </c>
    </row>
    <row r="3" spans="2:32" ht="19.5" thickBot="1">
      <c r="B3" s="1255" t="s">
        <v>1</v>
      </c>
      <c r="C3" s="1256"/>
      <c r="D3" s="1256"/>
      <c r="E3" s="1256"/>
      <c r="F3" s="1256"/>
      <c r="G3" s="1256"/>
      <c r="H3" s="1256"/>
      <c r="I3" s="1256"/>
      <c r="J3" s="1257"/>
      <c r="L3" s="715" t="s">
        <v>2</v>
      </c>
      <c r="M3" s="716"/>
      <c r="N3" s="716"/>
      <c r="O3" s="716"/>
      <c r="P3" s="716"/>
      <c r="Q3" s="716"/>
      <c r="R3" s="717"/>
      <c r="T3" s="715" t="s">
        <v>3</v>
      </c>
      <c r="U3" s="716"/>
      <c r="V3" s="716"/>
      <c r="W3" s="717"/>
      <c r="Y3" s="893" t="s">
        <v>4</v>
      </c>
      <c r="AA3" s="1258" t="s">
        <v>5</v>
      </c>
      <c r="AB3" s="1259"/>
      <c r="AC3" s="1259"/>
      <c r="AD3" s="1259"/>
      <c r="AE3" s="1259"/>
      <c r="AF3" s="1260"/>
    </row>
    <row r="4" spans="2:32" ht="15.75" customHeight="1">
      <c r="B4" s="995" t="s">
        <v>6</v>
      </c>
      <c r="C4" s="996"/>
      <c r="D4" s="997" t="s">
        <v>7</v>
      </c>
      <c r="E4" s="997"/>
      <c r="F4" s="998"/>
      <c r="G4" s="999" t="s">
        <v>8</v>
      </c>
      <c r="H4" s="1000">
        <f>SUM(M5:M12)</f>
        <v>200</v>
      </c>
      <c r="I4" s="996"/>
      <c r="J4" s="1001"/>
      <c r="K4" s="338"/>
      <c r="L4" s="987" t="s">
        <v>9</v>
      </c>
      <c r="M4" s="988" t="s">
        <v>10</v>
      </c>
      <c r="N4" s="988" t="s">
        <v>11</v>
      </c>
      <c r="O4" s="988" t="s">
        <v>12</v>
      </c>
      <c r="P4" s="988" t="s">
        <v>13</v>
      </c>
      <c r="Q4" s="988" t="s">
        <v>14</v>
      </c>
      <c r="R4" s="989" t="s">
        <v>15</v>
      </c>
      <c r="T4" s="990" t="s">
        <v>16</v>
      </c>
      <c r="U4" s="340"/>
      <c r="V4" s="340"/>
      <c r="W4" s="871"/>
      <c r="Y4" s="894" t="s">
        <v>17</v>
      </c>
      <c r="AA4" s="75"/>
      <c r="AF4" s="832"/>
    </row>
    <row r="5" spans="2:32">
      <c r="B5" s="1002" t="s">
        <v>18</v>
      </c>
      <c r="D5" s="1003" t="s">
        <v>19</v>
      </c>
      <c r="E5" s="1003"/>
      <c r="F5" s="1004"/>
      <c r="G5" s="1005" t="s">
        <v>20</v>
      </c>
      <c r="H5" s="839">
        <f>(SUMPRODUCT(O5:O12,M5:M12)-SUMPRODUCT(N5:N12,M5:M12))/SUMPRODUCT(M5:M12,O5:O12)</f>
        <v>0.24023057093755967</v>
      </c>
      <c r="J5" s="832"/>
      <c r="L5" s="861" t="s">
        <v>21</v>
      </c>
      <c r="M5" s="862">
        <v>3</v>
      </c>
      <c r="N5" s="863">
        <v>1112</v>
      </c>
      <c r="O5" s="863">
        <v>1725</v>
      </c>
      <c r="P5" s="862">
        <v>1036</v>
      </c>
      <c r="Q5" s="363">
        <f>N5/$P5</f>
        <v>1.0733590733590734</v>
      </c>
      <c r="R5" s="864">
        <f>O5/$P5</f>
        <v>1.665057915057915</v>
      </c>
      <c r="T5" s="872" t="s">
        <v>22</v>
      </c>
      <c r="U5" s="1"/>
      <c r="V5" s="873">
        <v>0.02</v>
      </c>
      <c r="W5" s="832"/>
      <c r="Y5" s="895" t="s">
        <v>23</v>
      </c>
      <c r="AA5" s="75"/>
      <c r="AF5" s="832"/>
    </row>
    <row r="6" spans="2:32" ht="15.6" customHeight="1" thickBot="1">
      <c r="B6" s="831" t="s">
        <v>24</v>
      </c>
      <c r="D6" s="1006">
        <v>44340000</v>
      </c>
      <c r="E6" s="1007"/>
      <c r="F6" s="1004"/>
      <c r="G6" s="1005" t="s">
        <v>25</v>
      </c>
      <c r="H6" s="201">
        <f>-D21/D17</f>
        <v>5.3871833189753693E-2</v>
      </c>
      <c r="J6" s="832"/>
      <c r="L6" s="861" t="s">
        <v>26</v>
      </c>
      <c r="M6" s="862">
        <v>1</v>
      </c>
      <c r="N6" s="863">
        <v>1353</v>
      </c>
      <c r="O6" s="863">
        <v>1650</v>
      </c>
      <c r="P6" s="862">
        <v>1036</v>
      </c>
      <c r="Q6" s="363">
        <f t="shared" ref="Q6:R12" si="0">N6/$P6</f>
        <v>1.305984555984556</v>
      </c>
      <c r="R6" s="864">
        <f t="shared" si="0"/>
        <v>1.5926640926640927</v>
      </c>
      <c r="T6" s="831" t="s">
        <v>27</v>
      </c>
      <c r="V6" s="979">
        <v>0</v>
      </c>
      <c r="W6" s="832"/>
      <c r="Y6" s="896" t="s">
        <v>28</v>
      </c>
      <c r="AA6" s="1252" t="s">
        <v>29</v>
      </c>
      <c r="AB6" s="1253"/>
      <c r="AC6" s="1253"/>
      <c r="AD6" s="1253"/>
      <c r="AE6" s="1253"/>
      <c r="AF6" s="1254"/>
    </row>
    <row r="7" spans="2:32">
      <c r="B7" s="831" t="s">
        <v>30</v>
      </c>
      <c r="D7" s="1006">
        <f>D6</f>
        <v>44340000</v>
      </c>
      <c r="E7" s="1007"/>
      <c r="F7" s="1004"/>
      <c r="J7" s="832"/>
      <c r="L7" s="861" t="s">
        <v>31</v>
      </c>
      <c r="M7" s="862">
        <v>34</v>
      </c>
      <c r="N7" s="863">
        <v>1344</v>
      </c>
      <c r="O7" s="863">
        <v>1975</v>
      </c>
      <c r="P7" s="862">
        <v>1208</v>
      </c>
      <c r="Q7" s="363">
        <f t="shared" si="0"/>
        <v>1.1125827814569536</v>
      </c>
      <c r="R7" s="864">
        <f t="shared" si="0"/>
        <v>1.634933774834437</v>
      </c>
      <c r="T7" s="872" t="s">
        <v>32</v>
      </c>
      <c r="U7" s="1"/>
      <c r="V7" s="873">
        <v>1.4999999999999999E-2</v>
      </c>
      <c r="W7" s="832"/>
      <c r="AA7" s="899">
        <f>'Cash Flows &amp; Summary'!AA10</f>
        <v>0.15883758134287662</v>
      </c>
      <c r="AB7" s="1012">
        <v>2.5</v>
      </c>
      <c r="AC7" s="1012">
        <v>3</v>
      </c>
      <c r="AD7" s="1012">
        <v>4</v>
      </c>
      <c r="AE7" s="1012">
        <v>5</v>
      </c>
      <c r="AF7" s="1013"/>
    </row>
    <row r="8" spans="2:32" ht="15.95" customHeight="1">
      <c r="B8" s="831" t="s">
        <v>33</v>
      </c>
      <c r="D8" s="1006">
        <f>D7/H4</f>
        <v>221700</v>
      </c>
      <c r="E8" s="1003"/>
      <c r="F8" s="1004"/>
      <c r="J8" s="832"/>
      <c r="L8" s="861" t="s">
        <v>34</v>
      </c>
      <c r="M8" s="862">
        <v>52</v>
      </c>
      <c r="N8" s="863">
        <v>1535</v>
      </c>
      <c r="O8" s="863">
        <v>1850</v>
      </c>
      <c r="P8" s="862">
        <v>1208</v>
      </c>
      <c r="Q8" s="363">
        <f t="shared" si="0"/>
        <v>1.2706953642384107</v>
      </c>
      <c r="R8" s="864">
        <f t="shared" si="0"/>
        <v>1.5314569536423841</v>
      </c>
      <c r="T8" s="872" t="s">
        <v>35</v>
      </c>
      <c r="U8" s="1"/>
      <c r="V8" s="863">
        <f>'Cash Flows &amp; Summary'!U31</f>
        <v>200000</v>
      </c>
      <c r="W8" s="832"/>
      <c r="AA8" s="1014">
        <v>0.05</v>
      </c>
      <c r="AB8" s="1015">
        <f t="dataTable" ref="AB8:AE12" dt2D="1" dtr="1" r1="V68" r2="V65" ca="1"/>
        <v>0.15529971655980201</v>
      </c>
      <c r="AC8" s="1015">
        <v>0.2102584505826175</v>
      </c>
      <c r="AD8" s="1015">
        <v>0.18572351414961008</v>
      </c>
      <c r="AE8" s="1015">
        <v>0.17125003646547077</v>
      </c>
      <c r="AF8" s="1013"/>
    </row>
    <row r="9" spans="2:32" ht="15.95" customHeight="1">
      <c r="B9" s="831" t="s">
        <v>36</v>
      </c>
      <c r="D9" s="1008">
        <f>SUMPRODUCT(M5:M12,P5:P12)</f>
        <v>284088</v>
      </c>
      <c r="E9" s="1003"/>
      <c r="F9" s="1004"/>
      <c r="J9" s="832"/>
      <c r="L9" s="861" t="s">
        <v>37</v>
      </c>
      <c r="M9" s="862">
        <v>3</v>
      </c>
      <c r="N9" s="863">
        <v>1480</v>
      </c>
      <c r="O9" s="863">
        <v>1995</v>
      </c>
      <c r="P9" s="862">
        <v>1296</v>
      </c>
      <c r="Q9" s="363">
        <f t="shared" si="0"/>
        <v>1.1419753086419753</v>
      </c>
      <c r="R9" s="864">
        <f t="shared" si="0"/>
        <v>1.5393518518518519</v>
      </c>
      <c r="T9" s="831" t="s">
        <v>38</v>
      </c>
      <c r="V9" s="863">
        <v>1000000</v>
      </c>
      <c r="W9" s="832"/>
      <c r="AA9" s="1014">
        <v>5.2499999999999998E-2</v>
      </c>
      <c r="AB9" s="1015">
        <v>0.11741852006932385</v>
      </c>
      <c r="AC9" s="1015">
        <v>0.1864098735794002</v>
      </c>
      <c r="AD9" s="1015">
        <v>0.16913052134421536</v>
      </c>
      <c r="AE9" s="1015">
        <v>0.15883758134287662</v>
      </c>
      <c r="AF9" s="1013"/>
    </row>
    <row r="10" spans="2:32">
      <c r="B10" s="831" t="s">
        <v>39</v>
      </c>
      <c r="D10" s="1009">
        <f>D7/D9</f>
        <v>156.07839824279802</v>
      </c>
      <c r="E10" s="1003"/>
      <c r="F10" s="1004"/>
      <c r="J10" s="832"/>
      <c r="L10" s="861" t="s">
        <v>40</v>
      </c>
      <c r="M10" s="862">
        <v>1</v>
      </c>
      <c r="N10" s="863">
        <v>1840</v>
      </c>
      <c r="O10" s="863">
        <v>1950</v>
      </c>
      <c r="P10" s="862">
        <v>1296</v>
      </c>
      <c r="Q10" s="363">
        <f t="shared" si="0"/>
        <v>1.4197530864197532</v>
      </c>
      <c r="R10" s="864">
        <f t="shared" si="0"/>
        <v>1.5046296296296295</v>
      </c>
      <c r="T10" s="990" t="s">
        <v>41</v>
      </c>
      <c r="U10" s="339"/>
      <c r="V10" s="340"/>
      <c r="W10" s="874"/>
      <c r="AA10" s="1014">
        <v>5.5E-2</v>
      </c>
      <c r="AB10" s="1015">
        <v>8.0434926900459836E-2</v>
      </c>
      <c r="AC10" s="1015">
        <v>0.16386359603594047</v>
      </c>
      <c r="AD10" s="1015">
        <v>0.15339078346060631</v>
      </c>
      <c r="AE10" s="1015">
        <v>0.14705261021775473</v>
      </c>
      <c r="AF10" s="1013"/>
    </row>
    <row r="11" spans="2:32">
      <c r="B11" s="831" t="s">
        <v>42</v>
      </c>
      <c r="D11" s="1003">
        <v>1999</v>
      </c>
      <c r="E11" s="1003"/>
      <c r="F11" s="1004"/>
      <c r="J11" s="832"/>
      <c r="L11" s="861" t="s">
        <v>43</v>
      </c>
      <c r="M11" s="862">
        <v>47</v>
      </c>
      <c r="N11" s="863">
        <v>1584</v>
      </c>
      <c r="O11" s="863">
        <v>2300</v>
      </c>
      <c r="P11" s="862">
        <v>1612</v>
      </c>
      <c r="Q11" s="363">
        <f t="shared" si="0"/>
        <v>0.98263027295285355</v>
      </c>
      <c r="R11" s="864">
        <f t="shared" si="0"/>
        <v>1.4267990074441688</v>
      </c>
      <c r="T11" s="831" t="s">
        <v>44</v>
      </c>
      <c r="V11" s="32">
        <f>V13*12</f>
        <v>360</v>
      </c>
      <c r="W11" s="832"/>
      <c r="AA11" s="1014">
        <v>5.7500000000000002E-2</v>
      </c>
      <c r="AB11" s="1015">
        <v>3.6477023135243591E-2</v>
      </c>
      <c r="AC11" s="1015">
        <v>0.13481689344950976</v>
      </c>
      <c r="AD11" s="1015">
        <v>0.131828868220776</v>
      </c>
      <c r="AE11" s="1015">
        <v>0.13081884047571979</v>
      </c>
      <c r="AF11" s="1013"/>
    </row>
    <row r="12" spans="2:32" ht="16.5" thickBot="1">
      <c r="B12" s="1010" t="s">
        <v>45</v>
      </c>
      <c r="C12" s="835"/>
      <c r="D12" s="833" t="s">
        <v>46</v>
      </c>
      <c r="E12" s="833"/>
      <c r="F12" s="834"/>
      <c r="G12" s="835"/>
      <c r="H12" s="835"/>
      <c r="I12" s="835"/>
      <c r="J12" s="836"/>
      <c r="L12" s="865" t="s">
        <v>47</v>
      </c>
      <c r="M12" s="866">
        <v>59</v>
      </c>
      <c r="N12" s="867">
        <v>1820</v>
      </c>
      <c r="O12" s="867">
        <v>2250</v>
      </c>
      <c r="P12" s="866">
        <v>1612</v>
      </c>
      <c r="Q12" s="868">
        <f t="shared" si="0"/>
        <v>1.1290322580645162</v>
      </c>
      <c r="R12" s="869">
        <f t="shared" si="0"/>
        <v>1.3957816377171215</v>
      </c>
      <c r="T12" s="831" t="s">
        <v>48</v>
      </c>
      <c r="V12" s="979">
        <v>3.9E-2</v>
      </c>
      <c r="W12" s="832"/>
      <c r="AA12" s="1016">
        <v>0.06</v>
      </c>
      <c r="AB12" s="1015">
        <v>-9.0015505690465014E-3</v>
      </c>
      <c r="AC12" s="1015">
        <v>0.10146419794818518</v>
      </c>
      <c r="AD12" s="1015">
        <v>0.10827078712363036</v>
      </c>
      <c r="AE12" s="1015">
        <v>0.1131408530974769</v>
      </c>
      <c r="AF12" s="1013"/>
    </row>
    <row r="13" spans="2:32">
      <c r="C13" s="54"/>
      <c r="D13" s="837"/>
      <c r="E13" s="837"/>
      <c r="F13" s="838"/>
      <c r="L13" s="966"/>
      <c r="M13" s="967"/>
      <c r="N13" s="968"/>
      <c r="O13" s="969"/>
      <c r="P13" s="970"/>
      <c r="Q13" s="970" t="s">
        <v>49</v>
      </c>
      <c r="R13" s="971">
        <f>SUMPRODUCT(M5:M12,R5:R12)/SUM(M5:M12)</f>
        <v>1.4867235146599196</v>
      </c>
      <c r="T13" s="831" t="s">
        <v>50</v>
      </c>
      <c r="V13" s="980">
        <v>30</v>
      </c>
      <c r="W13" s="832"/>
      <c r="AA13" s="1017"/>
      <c r="AB13" s="259"/>
      <c r="AC13" s="259"/>
      <c r="AD13" s="259"/>
      <c r="AE13" s="259"/>
      <c r="AF13" s="1013"/>
    </row>
    <row r="14" spans="2:32" ht="17.45" customHeight="1" thickBot="1">
      <c r="B14" s="54"/>
      <c r="C14" s="54"/>
      <c r="L14" s="972"/>
      <c r="M14" s="973"/>
      <c r="N14" s="973"/>
      <c r="O14" s="974"/>
      <c r="P14" s="975"/>
      <c r="Q14" s="975" t="s">
        <v>51</v>
      </c>
      <c r="R14" s="976">
        <f>R13*(1-R2)</f>
        <v>1.4867235146599196</v>
      </c>
      <c r="T14" s="831" t="s">
        <v>52</v>
      </c>
      <c r="V14" s="32">
        <f>W14*12</f>
        <v>0</v>
      </c>
      <c r="W14" s="875">
        <v>0</v>
      </c>
      <c r="AA14" s="1252" t="s">
        <v>53</v>
      </c>
      <c r="AB14" s="1253"/>
      <c r="AC14" s="1253"/>
      <c r="AD14" s="1253"/>
      <c r="AE14" s="1253"/>
      <c r="AF14" s="1254"/>
    </row>
    <row r="15" spans="2:32" ht="18.75">
      <c r="B15" s="715" t="s">
        <v>54</v>
      </c>
      <c r="C15" s="716"/>
      <c r="D15" s="716"/>
      <c r="E15" s="716"/>
      <c r="F15" s="716"/>
      <c r="G15" s="716"/>
      <c r="H15" s="716"/>
      <c r="I15" s="716"/>
      <c r="J15" s="717"/>
      <c r="K15" s="21"/>
      <c r="L15" s="4"/>
      <c r="M15" s="4"/>
      <c r="N15" s="4"/>
      <c r="O15" s="3"/>
      <c r="P15" s="362"/>
      <c r="Q15" s="362"/>
      <c r="R15" s="363"/>
      <c r="T15" s="831" t="s">
        <v>55</v>
      </c>
      <c r="V15" s="981">
        <v>0.01</v>
      </c>
      <c r="W15" s="832"/>
      <c r="Y15" s="342"/>
      <c r="Z15" s="343"/>
      <c r="AA15" s="900">
        <f>'Cash Flows &amp; Summary'!AA10</f>
        <v>0.15883758134287662</v>
      </c>
      <c r="AB15" s="1018">
        <v>6204</v>
      </c>
      <c r="AC15" s="1018">
        <v>6500</v>
      </c>
      <c r="AD15" s="1018">
        <v>6700</v>
      </c>
      <c r="AE15" s="1018">
        <v>7000</v>
      </c>
      <c r="AF15" s="1019">
        <v>7100</v>
      </c>
    </row>
    <row r="16" spans="2:32">
      <c r="B16" s="990" t="s">
        <v>56</v>
      </c>
      <c r="C16" s="994"/>
      <c r="D16" s="988" t="s">
        <v>57</v>
      </c>
      <c r="E16" s="988" t="s">
        <v>58</v>
      </c>
      <c r="F16" s="988" t="s">
        <v>59</v>
      </c>
      <c r="G16" s="988" t="s">
        <v>58</v>
      </c>
      <c r="H16" s="993" t="s">
        <v>60</v>
      </c>
      <c r="I16" s="988"/>
      <c r="J16" s="989"/>
      <c r="K16" s="22"/>
      <c r="L16" s="4"/>
      <c r="M16" s="4"/>
      <c r="N16" s="4"/>
      <c r="O16" s="3"/>
      <c r="P16" s="361"/>
      <c r="Q16" s="361"/>
      <c r="R16" s="363"/>
      <c r="T16" s="831" t="s">
        <v>61</v>
      </c>
      <c r="V16" s="981">
        <v>0.52413170951736587</v>
      </c>
      <c r="W16" s="832"/>
      <c r="AA16" s="1014">
        <v>0.05</v>
      </c>
      <c r="AB16" s="1015">
        <f t="dataTable" ref="AB16:AF20" dt2D="1" dtr="1" r1="V39" r2="V65"/>
        <v>0.17143722463745825</v>
      </c>
      <c r="AC16" s="1015">
        <v>0.17083336155918505</v>
      </c>
      <c r="AD16" s="1015">
        <v>0.17042755659810038</v>
      </c>
      <c r="AE16" s="1015">
        <v>0.16982216174442644</v>
      </c>
      <c r="AF16" s="1020">
        <v>0.16962124082920305</v>
      </c>
    </row>
    <row r="17" spans="1:32" ht="17.100000000000001" customHeight="1">
      <c r="B17" s="831" t="s">
        <v>62</v>
      </c>
      <c r="D17" s="3">
        <v>3981530</v>
      </c>
      <c r="E17" s="840">
        <f>D17/$D$24</f>
        <v>1.0033540172308768</v>
      </c>
      <c r="F17" s="841">
        <f>SUMPRODUCT(O5:O12,M5:M12)*12*(1-R2)</f>
        <v>5027520</v>
      </c>
      <c r="G17" s="98">
        <f>D17/F17-1</f>
        <v>-0.2080528769651836</v>
      </c>
      <c r="H17" s="901" t="s">
        <v>11</v>
      </c>
      <c r="I17" s="1"/>
      <c r="J17" s="842"/>
      <c r="L17" s="4"/>
      <c r="M17" s="4"/>
      <c r="N17" s="4"/>
      <c r="O17" s="3"/>
      <c r="P17" s="362"/>
      <c r="Q17" s="362"/>
      <c r="R17" s="363"/>
      <c r="T17" s="990" t="s">
        <v>63</v>
      </c>
      <c r="U17" s="340"/>
      <c r="V17" s="341"/>
      <c r="W17" s="876"/>
      <c r="AA17" s="1014">
        <v>5.2499999999999998E-2</v>
      </c>
      <c r="AB17" s="1015">
        <v>0.15901625750897708</v>
      </c>
      <c r="AC17" s="1015">
        <v>0.15843987124569869</v>
      </c>
      <c r="AD17" s="1015">
        <v>0.1580525594065616</v>
      </c>
      <c r="AE17" s="1015">
        <v>0.15747479564688693</v>
      </c>
      <c r="AF17" s="1020">
        <v>0.15728305628403905</v>
      </c>
    </row>
    <row r="18" spans="1:32" ht="15.95" customHeight="1">
      <c r="B18" s="831" t="s">
        <v>64</v>
      </c>
      <c r="D18" s="841">
        <v>220305.28</v>
      </c>
      <c r="E18" s="840">
        <f t="shared" ref="E18:E23" si="1">D18/$D$24</f>
        <v>5.5517398513931365E-2</v>
      </c>
      <c r="F18" s="841">
        <f>D18</f>
        <v>220305.28</v>
      </c>
      <c r="G18" s="228">
        <f>F18/F17</f>
        <v>4.3819871427662145E-2</v>
      </c>
      <c r="H18" s="901" t="s">
        <v>11</v>
      </c>
      <c r="I18" s="1"/>
      <c r="J18" s="842"/>
      <c r="L18" s="4"/>
      <c r="M18" s="4"/>
      <c r="N18" s="4"/>
      <c r="O18" s="3"/>
      <c r="P18" s="362"/>
      <c r="Q18" s="362"/>
      <c r="R18" s="363"/>
      <c r="T18" s="831" t="s">
        <v>65</v>
      </c>
      <c r="V18" s="982" t="s">
        <v>66</v>
      </c>
      <c r="W18" s="832"/>
      <c r="AA18" s="1014">
        <v>5.5E-2</v>
      </c>
      <c r="AB18" s="1015">
        <v>0.14722290993307485</v>
      </c>
      <c r="AC18" s="1015">
        <v>0.14667356180367874</v>
      </c>
      <c r="AD18" s="1015">
        <v>0.1463044460241365</v>
      </c>
      <c r="AE18" s="1015">
        <v>0.14575386678835112</v>
      </c>
      <c r="AF18" s="1020">
        <v>0.14557115986387514</v>
      </c>
    </row>
    <row r="19" spans="1:32" ht="15.95" customHeight="1">
      <c r="B19" s="831" t="s">
        <v>67</v>
      </c>
      <c r="D19" s="841">
        <v>200237.16</v>
      </c>
      <c r="E19" s="840">
        <f t="shared" si="1"/>
        <v>5.0460189646920117E-2</v>
      </c>
      <c r="F19" s="841">
        <f>D19</f>
        <v>200237.16</v>
      </c>
      <c r="G19" s="228">
        <f>F19/F17</f>
        <v>3.9828217490929921E-2</v>
      </c>
      <c r="H19" s="901" t="s">
        <v>11</v>
      </c>
      <c r="I19" s="1"/>
      <c r="J19" s="842"/>
      <c r="L19" s="4"/>
      <c r="M19" s="4"/>
      <c r="N19" s="4"/>
      <c r="O19" s="3"/>
      <c r="P19" s="361"/>
      <c r="Q19" s="361"/>
      <c r="R19" s="363"/>
      <c r="T19" s="831" t="s">
        <v>68</v>
      </c>
      <c r="V19" s="4">
        <f>IF(OR(V18="No",V68&lt;=3),0,W19*12)</f>
        <v>36</v>
      </c>
      <c r="W19" s="875">
        <v>3</v>
      </c>
      <c r="AA19" s="1014">
        <v>5.7500000000000002E-2</v>
      </c>
      <c r="AB19" s="1015">
        <v>0.1310770223748734</v>
      </c>
      <c r="AC19" s="1015">
        <v>0.13024388193481617</v>
      </c>
      <c r="AD19" s="1015">
        <v>0.12968358487739295</v>
      </c>
      <c r="AE19" s="1015">
        <v>0.12884709128630378</v>
      </c>
      <c r="AF19" s="1020">
        <v>0.12856930730941496</v>
      </c>
    </row>
    <row r="20" spans="1:32">
      <c r="B20" s="831" t="s">
        <v>69</v>
      </c>
      <c r="D20" s="841">
        <v>-205394</v>
      </c>
      <c r="E20" s="840">
        <f t="shared" si="1"/>
        <v>-5.1759724280645562E-2</v>
      </c>
      <c r="F20" s="97">
        <f>-SUM($F$17:$F$19)*V52</f>
        <v>-54480.624400000008</v>
      </c>
      <c r="G20" s="98"/>
      <c r="H20" s="1"/>
      <c r="I20" s="1"/>
      <c r="J20" s="842"/>
      <c r="L20" s="4"/>
      <c r="M20" s="4"/>
      <c r="N20" s="4"/>
      <c r="O20" s="3"/>
      <c r="P20" s="362"/>
      <c r="Q20" s="362"/>
      <c r="R20" s="363"/>
      <c r="T20" s="831" t="s">
        <v>70</v>
      </c>
      <c r="V20" s="979">
        <v>0.06</v>
      </c>
      <c r="W20" s="832"/>
      <c r="AA20" s="1016">
        <v>0.06</v>
      </c>
      <c r="AB20" s="1015">
        <v>0.11339199036474423</v>
      </c>
      <c r="AC20" s="1015">
        <v>0.11258159771968401</v>
      </c>
      <c r="AD20" s="1015">
        <v>0.11203662349941967</v>
      </c>
      <c r="AE20" s="1015">
        <v>0.11122304312569553</v>
      </c>
      <c r="AF20" s="1020">
        <v>0.11095287803911691</v>
      </c>
    </row>
    <row r="21" spans="1:32">
      <c r="B21" s="831" t="s">
        <v>71</v>
      </c>
      <c r="D21" s="841">
        <v>-214492.32</v>
      </c>
      <c r="E21" s="840">
        <f t="shared" si="1"/>
        <v>-5.4052520246531045E-2</v>
      </c>
      <c r="F21" s="97">
        <f>-SUM($F$17:$F$19)*V55</f>
        <v>-272403.12200000003</v>
      </c>
      <c r="G21" s="98"/>
      <c r="H21" s="1"/>
      <c r="I21" s="1"/>
      <c r="J21" s="842"/>
      <c r="L21" s="4"/>
      <c r="M21" s="4"/>
      <c r="N21" s="4"/>
      <c r="O21" s="3"/>
      <c r="P21" s="362"/>
      <c r="Q21" s="362"/>
      <c r="R21" s="363"/>
      <c r="T21" s="831" t="s">
        <v>72</v>
      </c>
      <c r="V21" s="385">
        <v>0.65</v>
      </c>
      <c r="W21" s="832"/>
      <c r="AA21" s="1017"/>
      <c r="AB21" s="259"/>
      <c r="AC21" s="259"/>
      <c r="AD21" s="259"/>
      <c r="AE21" s="259"/>
      <c r="AF21" s="1013"/>
    </row>
    <row r="22" spans="1:32">
      <c r="B22" s="831" t="s">
        <v>73</v>
      </c>
      <c r="D22" s="841">
        <f>-6369.88-4339.71</f>
        <v>-10709.59</v>
      </c>
      <c r="E22" s="840">
        <f t="shared" si="1"/>
        <v>-2.6988394284095879E-3</v>
      </c>
      <c r="F22" s="97">
        <f>-SUM($F$17:$F$19)*V48</f>
        <v>-27240.312200000004</v>
      </c>
      <c r="G22" s="228"/>
      <c r="H22" s="1"/>
      <c r="I22" s="1"/>
      <c r="J22" s="842"/>
      <c r="L22" s="4"/>
      <c r="M22" s="4"/>
      <c r="N22" s="4"/>
      <c r="O22" s="3"/>
      <c r="P22" s="362"/>
      <c r="Q22" s="362"/>
      <c r="R22" s="363"/>
      <c r="T22" s="831" t="s">
        <v>48</v>
      </c>
      <c r="V22" s="979">
        <v>0.06</v>
      </c>
      <c r="W22" s="832"/>
      <c r="AA22" s="1252" t="s">
        <v>74</v>
      </c>
      <c r="AB22" s="1253"/>
      <c r="AC22" s="1253"/>
      <c r="AD22" s="1253"/>
      <c r="AE22" s="1253"/>
      <c r="AF22" s="1254"/>
    </row>
    <row r="23" spans="1:32">
      <c r="B23" s="831" t="s">
        <v>75</v>
      </c>
      <c r="D23" s="841">
        <v>-3256.01</v>
      </c>
      <c r="E23" s="840">
        <f t="shared" si="1"/>
        <v>-8.2052143614236425E-4</v>
      </c>
      <c r="F23" s="97">
        <f>-SUM($F$17:$F$19)*V59</f>
        <v>-2724.0312200000003</v>
      </c>
      <c r="G23" s="228"/>
      <c r="H23" s="843"/>
      <c r="I23" s="843"/>
      <c r="J23" s="844"/>
      <c r="K23" s="53"/>
      <c r="L23" s="4"/>
      <c r="M23" s="32"/>
      <c r="N23" s="32"/>
      <c r="O23" s="3"/>
      <c r="P23" s="32"/>
      <c r="Q23" s="32"/>
      <c r="R23" s="382"/>
      <c r="T23" s="831" t="s">
        <v>50</v>
      </c>
      <c r="V23" s="980">
        <v>30</v>
      </c>
      <c r="W23" s="832"/>
      <c r="AA23" s="1021" t="s">
        <v>76</v>
      </c>
      <c r="AB23" s="1022">
        <f>$R$13*(1-AB24)</f>
        <v>1.4569890443667213</v>
      </c>
      <c r="AC23" s="1022">
        <f t="shared" ref="AC23:AF23" si="2">$R$13*(1-AC24)</f>
        <v>1.442121809220122</v>
      </c>
      <c r="AD23" s="1022">
        <f t="shared" si="2"/>
        <v>1.4272545740735227</v>
      </c>
      <c r="AE23" s="1022">
        <f t="shared" si="2"/>
        <v>1.4123873389269235</v>
      </c>
      <c r="AF23" s="1023">
        <f t="shared" si="2"/>
        <v>1.3975201037803244</v>
      </c>
    </row>
    <row r="24" spans="1:32" ht="16.5" thickBot="1">
      <c r="B24" s="845" t="s">
        <v>77</v>
      </c>
      <c r="C24" s="846"/>
      <c r="D24" s="822">
        <f>SUM(D17:D23)</f>
        <v>3968220.5200000009</v>
      </c>
      <c r="E24" s="847">
        <f>SUM(E17:E23)</f>
        <v>0.99999999999999989</v>
      </c>
      <c r="F24" s="822">
        <f>SUM(F17:F23)</f>
        <v>5091214.3501800001</v>
      </c>
      <c r="G24" s="823">
        <f>SUM(G20:G23)</f>
        <v>0</v>
      </c>
      <c r="H24" s="848"/>
      <c r="I24" s="848"/>
      <c r="J24" s="849"/>
      <c r="L24" s="4"/>
      <c r="M24" s="32"/>
      <c r="N24" s="32"/>
      <c r="O24" s="3"/>
      <c r="P24" s="10"/>
      <c r="Q24" s="10"/>
      <c r="R24" s="10"/>
      <c r="T24" s="831" t="s">
        <v>78</v>
      </c>
      <c r="V24" s="980">
        <v>2</v>
      </c>
      <c r="W24" s="832"/>
      <c r="AA24" s="899">
        <f>'Cash Flows &amp; Summary'!AA10</f>
        <v>0.15883758134287662</v>
      </c>
      <c r="AB24" s="1024">
        <v>0.02</v>
      </c>
      <c r="AC24" s="1024">
        <v>0.03</v>
      </c>
      <c r="AD24" s="1024">
        <v>0.04</v>
      </c>
      <c r="AE24" s="1024">
        <v>0.05</v>
      </c>
      <c r="AF24" s="1025">
        <v>0.06</v>
      </c>
    </row>
    <row r="25" spans="1:32" ht="16.5" thickBot="1">
      <c r="D25" s="259"/>
      <c r="E25" s="259"/>
      <c r="F25" s="259"/>
      <c r="G25" s="260"/>
      <c r="H25" s="1"/>
      <c r="I25" s="1"/>
      <c r="J25" s="1"/>
      <c r="L25" s="312"/>
      <c r="T25" s="831" t="s">
        <v>55</v>
      </c>
      <c r="V25" s="981">
        <v>0.01</v>
      </c>
      <c r="W25" s="832"/>
      <c r="AA25" s="1014">
        <v>0.05</v>
      </c>
      <c r="AB25" s="1015">
        <f t="dataTable" ref="AB25:AF29" dt2D="1" dtr="1" r1="R2" r2="V65" ca="1"/>
        <v>0.15957420044633541</v>
      </c>
      <c r="AC25" s="1015">
        <v>0.15278061725777947</v>
      </c>
      <c r="AD25" s="1015">
        <v>0.14389304412121273</v>
      </c>
      <c r="AE25" s="1015">
        <v>0.13217957802816782</v>
      </c>
      <c r="AF25" s="1020">
        <v>0.11707788308338585</v>
      </c>
    </row>
    <row r="26" spans="1:32" ht="18.75">
      <c r="A26" s="897"/>
      <c r="B26" s="715" t="s">
        <v>79</v>
      </c>
      <c r="C26" s="716"/>
      <c r="D26" s="716"/>
      <c r="E26" s="716"/>
      <c r="F26" s="716"/>
      <c r="G26" s="716"/>
      <c r="H26" s="716"/>
      <c r="I26" s="716"/>
      <c r="J26" s="717"/>
      <c r="T26" s="991" t="s">
        <v>80</v>
      </c>
      <c r="U26" s="383"/>
      <c r="V26" s="384"/>
      <c r="W26" s="877"/>
      <c r="AA26" s="1014">
        <v>5.2499999999999998E-2</v>
      </c>
      <c r="AB26" s="1015">
        <v>0.14728297283728731</v>
      </c>
      <c r="AC26" s="1015">
        <v>0.14046765939190187</v>
      </c>
      <c r="AD26" s="1015">
        <v>0.12650693767599486</v>
      </c>
      <c r="AE26" s="1015">
        <v>0.11137800056838443</v>
      </c>
      <c r="AF26" s="1020">
        <v>9.5455554116253394E-2</v>
      </c>
    </row>
    <row r="27" spans="1:32" ht="18.75">
      <c r="B27" s="990" t="s">
        <v>79</v>
      </c>
      <c r="C27" s="988"/>
      <c r="D27" s="988" t="s">
        <v>81</v>
      </c>
      <c r="E27" s="988" t="s">
        <v>82</v>
      </c>
      <c r="F27" s="992" t="s">
        <v>59</v>
      </c>
      <c r="G27" s="988" t="s">
        <v>82</v>
      </c>
      <c r="H27" s="993" t="s">
        <v>60</v>
      </c>
      <c r="I27" s="988"/>
      <c r="J27" s="989"/>
      <c r="K27" s="25"/>
      <c r="L27" s="25"/>
      <c r="M27" s="25"/>
      <c r="N27" s="25"/>
      <c r="O27" s="25"/>
      <c r="P27" s="25"/>
      <c r="Q27" s="25"/>
      <c r="R27" s="25"/>
      <c r="T27" s="831" t="s">
        <v>83</v>
      </c>
      <c r="V27" s="982" t="s">
        <v>72</v>
      </c>
      <c r="W27" s="832"/>
      <c r="AA27" s="1014">
        <v>5.5E-2</v>
      </c>
      <c r="AB27" s="1015">
        <v>0.1324731303393194</v>
      </c>
      <c r="AC27" s="1015">
        <v>0.12202300215699946</v>
      </c>
      <c r="AD27" s="1015">
        <v>0.1069051145854627</v>
      </c>
      <c r="AE27" s="1015">
        <v>9.0990379203763183E-2</v>
      </c>
      <c r="AF27" s="1020">
        <v>7.4175515060690422E-2</v>
      </c>
    </row>
    <row r="28" spans="1:32">
      <c r="B28" s="831" t="s">
        <v>84</v>
      </c>
      <c r="D28" s="97">
        <v>392587.97</v>
      </c>
      <c r="E28" s="850">
        <f t="shared" ref="E28:E40" si="3">D28/$H$4</f>
        <v>1962.9398499999998</v>
      </c>
      <c r="F28" s="97">
        <f>(62500+62500+52500+52500)*1.3</f>
        <v>299000</v>
      </c>
      <c r="G28" s="850">
        <f t="shared" ref="G28:G40" si="4">F28/$H$4</f>
        <v>1495</v>
      </c>
      <c r="H28" s="901" t="s">
        <v>85</v>
      </c>
      <c r="I28" s="1"/>
      <c r="J28" s="842"/>
      <c r="K28" s="203"/>
      <c r="L28" s="203"/>
      <c r="M28" s="203"/>
      <c r="N28" s="203"/>
      <c r="O28" s="203"/>
      <c r="P28" s="203"/>
      <c r="Q28" s="203"/>
      <c r="R28" s="203"/>
      <c r="S28" s="259" t="s">
        <v>86</v>
      </c>
      <c r="T28" s="831" t="s">
        <v>58</v>
      </c>
      <c r="V28" s="983">
        <v>0.2706359945872801</v>
      </c>
      <c r="W28" s="878"/>
      <c r="AA28" s="1014">
        <v>5.7500000000000002E-2</v>
      </c>
      <c r="AB28" s="1015">
        <v>0.11428682627396825</v>
      </c>
      <c r="AC28" s="1015">
        <v>0.10355040298427909</v>
      </c>
      <c r="AD28" s="1015">
        <v>8.7684139093321622E-2</v>
      </c>
      <c r="AE28" s="1015">
        <v>7.0918301029016861E-2</v>
      </c>
      <c r="AF28" s="1020">
        <v>4.8543492098297669E-2</v>
      </c>
    </row>
    <row r="29" spans="1:32" ht="16.5" thickBot="1">
      <c r="B29" s="831" t="s">
        <v>87</v>
      </c>
      <c r="D29" s="97">
        <v>141507.92000000001</v>
      </c>
      <c r="E29" s="850">
        <f t="shared" si="3"/>
        <v>707.53960000000006</v>
      </c>
      <c r="F29" s="97">
        <f>305*200</f>
        <v>61000</v>
      </c>
      <c r="G29" s="850">
        <f t="shared" si="4"/>
        <v>305</v>
      </c>
      <c r="H29" s="901" t="s">
        <v>88</v>
      </c>
      <c r="I29" s="1"/>
      <c r="J29" s="842"/>
      <c r="K29" s="1"/>
      <c r="L29" s="1"/>
      <c r="M29" s="1"/>
      <c r="N29" s="1"/>
      <c r="T29" s="831" t="s">
        <v>89</v>
      </c>
      <c r="V29" s="879">
        <v>12000000</v>
      </c>
      <c r="W29" s="878"/>
      <c r="AA29" s="1026">
        <v>0.06</v>
      </c>
      <c r="AB29" s="1027">
        <v>9.6473455035967826E-2</v>
      </c>
      <c r="AC29" s="1027">
        <v>8.5432554138406225E-2</v>
      </c>
      <c r="AD29" s="1027">
        <v>6.8162206356337185E-2</v>
      </c>
      <c r="AE29" s="1027">
        <v>4.5862068688492519E-2</v>
      </c>
      <c r="AF29" s="1028">
        <v>2.161153989145026E-2</v>
      </c>
    </row>
    <row r="30" spans="1:32">
      <c r="B30" s="831" t="s">
        <v>90</v>
      </c>
      <c r="D30" s="97">
        <v>65936.75</v>
      </c>
      <c r="E30" s="850">
        <f t="shared" si="3"/>
        <v>329.68374999999997</v>
      </c>
      <c r="F30" s="97">
        <v>67000</v>
      </c>
      <c r="G30" s="850">
        <f t="shared" si="4"/>
        <v>335</v>
      </c>
      <c r="H30" s="901"/>
      <c r="I30" s="1"/>
      <c r="J30" s="842"/>
      <c r="K30" s="1"/>
      <c r="L30" s="1"/>
      <c r="M30" s="1"/>
      <c r="N30" s="1"/>
      <c r="T30" s="831" t="s">
        <v>44</v>
      </c>
      <c r="V30" s="880">
        <v>36</v>
      </c>
      <c r="W30" s="878"/>
    </row>
    <row r="31" spans="1:32">
      <c r="B31" s="831" t="s">
        <v>91</v>
      </c>
      <c r="D31" s="97">
        <v>61988</v>
      </c>
      <c r="E31" s="850">
        <f t="shared" si="3"/>
        <v>309.94</v>
      </c>
      <c r="F31" s="97">
        <f>250*200</f>
        <v>50000</v>
      </c>
      <c r="G31" s="850">
        <f t="shared" si="4"/>
        <v>250</v>
      </c>
      <c r="H31" s="901"/>
      <c r="I31" s="1"/>
      <c r="J31" s="842"/>
      <c r="K31" s="1"/>
      <c r="L31" s="1"/>
      <c r="M31" s="1"/>
      <c r="N31" s="1"/>
      <c r="T31" s="161" t="s">
        <v>92</v>
      </c>
      <c r="V31" s="979">
        <v>0.08</v>
      </c>
      <c r="W31" s="878"/>
    </row>
    <row r="32" spans="1:32">
      <c r="B32" s="831" t="s">
        <v>93</v>
      </c>
      <c r="D32" s="97">
        <v>191546.43</v>
      </c>
      <c r="E32" s="850">
        <f t="shared" si="3"/>
        <v>957.73214999999993</v>
      </c>
      <c r="F32" s="97">
        <v>280899</v>
      </c>
      <c r="G32" s="850">
        <f t="shared" si="4"/>
        <v>1404.4949999999999</v>
      </c>
      <c r="H32" s="901" t="s">
        <v>94</v>
      </c>
      <c r="I32" s="1"/>
      <c r="J32" s="842"/>
      <c r="K32" s="1"/>
      <c r="L32" s="1"/>
      <c r="M32" s="1"/>
      <c r="N32" s="1"/>
      <c r="T32" s="161" t="s">
        <v>95</v>
      </c>
      <c r="V32" s="979">
        <v>0.06</v>
      </c>
      <c r="W32" s="832"/>
    </row>
    <row r="33" spans="2:25">
      <c r="B33" s="831" t="s">
        <v>96</v>
      </c>
      <c r="D33" s="97">
        <v>73355.16</v>
      </c>
      <c r="E33" s="850">
        <f t="shared" si="3"/>
        <v>366.7758</v>
      </c>
      <c r="F33" s="97">
        <f>200*200</f>
        <v>40000</v>
      </c>
      <c r="G33" s="850">
        <f t="shared" si="4"/>
        <v>200</v>
      </c>
      <c r="H33" s="901"/>
      <c r="I33" s="1"/>
      <c r="J33" s="842"/>
      <c r="K33" s="1"/>
      <c r="L33" s="1"/>
      <c r="M33" s="1"/>
      <c r="N33" s="1"/>
      <c r="T33" s="831" t="s">
        <v>55</v>
      </c>
      <c r="V33" s="981">
        <v>2.5000000000000001E-2</v>
      </c>
      <c r="W33" s="832"/>
    </row>
    <row r="34" spans="2:25">
      <c r="B34" s="831" t="s">
        <v>97</v>
      </c>
      <c r="D34" s="97">
        <v>24807.08</v>
      </c>
      <c r="E34" s="850">
        <f t="shared" si="3"/>
        <v>124.03540000000001</v>
      </c>
      <c r="F34" s="97">
        <f>150*200</f>
        <v>30000</v>
      </c>
      <c r="G34" s="850">
        <f t="shared" si="4"/>
        <v>150</v>
      </c>
      <c r="H34" s="901"/>
      <c r="J34" s="832"/>
      <c r="K34" s="1"/>
      <c r="L34" s="1"/>
      <c r="M34" s="1"/>
      <c r="N34" s="1"/>
      <c r="T34" s="831" t="s">
        <v>98</v>
      </c>
      <c r="V34" s="981">
        <v>5.0000000000000001E-3</v>
      </c>
      <c r="W34" s="832"/>
    </row>
    <row r="35" spans="2:25">
      <c r="B35" s="831" t="s">
        <v>99</v>
      </c>
      <c r="D35" s="97">
        <v>1001</v>
      </c>
      <c r="E35" s="850">
        <f t="shared" si="3"/>
        <v>5.0049999999999999</v>
      </c>
      <c r="F35" s="97">
        <f>D35</f>
        <v>1001</v>
      </c>
      <c r="G35" s="850">
        <f t="shared" si="4"/>
        <v>5.0049999999999999</v>
      </c>
      <c r="H35" s="901"/>
      <c r="I35" s="1"/>
      <c r="J35" s="842"/>
      <c r="L35" s="1"/>
      <c r="M35" s="1"/>
      <c r="N35" s="1"/>
      <c r="S35" s="327"/>
      <c r="T35" s="831" t="s">
        <v>100</v>
      </c>
      <c r="V35" s="981">
        <v>0.01</v>
      </c>
      <c r="W35" s="832"/>
    </row>
    <row r="36" spans="2:25">
      <c r="B36" s="831" t="s">
        <v>101</v>
      </c>
      <c r="D36" s="97">
        <v>142250.98000000001</v>
      </c>
      <c r="E36" s="850">
        <f t="shared" si="3"/>
        <v>711.25490000000002</v>
      </c>
      <c r="F36" s="97">
        <f>196000+15000</f>
        <v>211000</v>
      </c>
      <c r="G36" s="850">
        <f t="shared" si="4"/>
        <v>1055</v>
      </c>
      <c r="H36" s="901" t="s">
        <v>102</v>
      </c>
      <c r="I36" s="1"/>
      <c r="J36" s="842"/>
      <c r="K36" s="1"/>
      <c r="L36" s="1"/>
      <c r="M36" s="1"/>
      <c r="N36" s="1"/>
      <c r="T36" s="990" t="s">
        <v>103</v>
      </c>
      <c r="U36" s="340"/>
      <c r="V36" s="341"/>
      <c r="W36" s="876"/>
    </row>
    <row r="37" spans="2:25" ht="18" customHeight="1">
      <c r="B37" s="831" t="s">
        <v>104</v>
      </c>
      <c r="D37" s="97">
        <v>158682</v>
      </c>
      <c r="E37" s="850">
        <f t="shared" si="3"/>
        <v>793.41</v>
      </c>
      <c r="F37" s="97">
        <f>F24*V45</f>
        <v>152736.4305054</v>
      </c>
      <c r="G37" s="850">
        <f t="shared" si="4"/>
        <v>763.68215252699997</v>
      </c>
      <c r="H37" s="901"/>
      <c r="I37" s="49"/>
      <c r="J37" s="852"/>
      <c r="K37" s="1"/>
      <c r="L37" s="1"/>
      <c r="M37" s="1"/>
      <c r="N37" s="1"/>
      <c r="T37" s="872" t="s">
        <v>105</v>
      </c>
      <c r="U37" s="1"/>
      <c r="V37" s="881">
        <v>18</v>
      </c>
      <c r="W37" s="832"/>
      <c r="Y37" s="386"/>
    </row>
    <row r="38" spans="2:25">
      <c r="B38" s="831" t="s">
        <v>106</v>
      </c>
      <c r="D38" s="97">
        <v>545429.52</v>
      </c>
      <c r="E38" s="850">
        <f t="shared" si="3"/>
        <v>2727.1476000000002</v>
      </c>
      <c r="F38" s="97">
        <v>553386</v>
      </c>
      <c r="G38" s="850">
        <f t="shared" si="4"/>
        <v>2766.93</v>
      </c>
      <c r="H38" s="901" t="s">
        <v>107</v>
      </c>
      <c r="I38" s="49"/>
      <c r="J38" s="852"/>
      <c r="K38" s="49"/>
      <c r="L38" s="1"/>
      <c r="M38" s="1"/>
      <c r="N38" s="1"/>
      <c r="T38" s="872" t="s">
        <v>108</v>
      </c>
      <c r="U38" s="1"/>
      <c r="V38" s="882"/>
      <c r="W38" s="883"/>
    </row>
    <row r="39" spans="2:25">
      <c r="B39" s="831" t="s">
        <v>109</v>
      </c>
      <c r="D39" s="97"/>
      <c r="E39" s="850">
        <f t="shared" si="3"/>
        <v>0</v>
      </c>
      <c r="F39" s="97">
        <v>50000</v>
      </c>
      <c r="G39" s="850">
        <f t="shared" si="4"/>
        <v>250</v>
      </c>
      <c r="H39" s="851"/>
      <c r="I39" s="1"/>
      <c r="J39" s="842"/>
      <c r="K39" s="49"/>
      <c r="L39" s="1"/>
      <c r="M39" s="1"/>
      <c r="N39" s="1"/>
      <c r="T39" s="872" t="s">
        <v>110</v>
      </c>
      <c r="U39" s="1"/>
      <c r="V39" s="882">
        <f>'Capex-Final'!G5/'Inputs &amp; Assumptions'!$H$4</f>
        <v>6295.55</v>
      </c>
      <c r="W39" s="832"/>
    </row>
    <row r="40" spans="2:25" ht="15.95" customHeight="1">
      <c r="B40" s="831" t="s">
        <v>111</v>
      </c>
      <c r="D40" s="97"/>
      <c r="E40" s="850">
        <f t="shared" si="3"/>
        <v>0</v>
      </c>
      <c r="F40" s="97"/>
      <c r="G40" s="850">
        <f t="shared" si="4"/>
        <v>0</v>
      </c>
      <c r="H40" s="851"/>
      <c r="I40" s="1"/>
      <c r="J40" s="842"/>
      <c r="K40" s="1"/>
      <c r="L40" s="1"/>
      <c r="M40" s="1"/>
      <c r="N40" s="1"/>
      <c r="T40" s="872" t="s">
        <v>112</v>
      </c>
      <c r="U40" s="1"/>
      <c r="V40" s="882">
        <f>'Capex-Final'!G38</f>
        <v>1299500</v>
      </c>
      <c r="W40" s="832"/>
    </row>
    <row r="41" spans="2:25">
      <c r="B41" s="853" t="s">
        <v>113</v>
      </c>
      <c r="C41" s="854"/>
      <c r="D41" s="99">
        <f>SUM(D28:D40)</f>
        <v>1799092.81</v>
      </c>
      <c r="E41" s="99">
        <f>SUM(E28:E40)</f>
        <v>8995.4640500000005</v>
      </c>
      <c r="F41" s="314">
        <f>SUM(F28:F40)</f>
        <v>1796022.4305054001</v>
      </c>
      <c r="G41" s="99">
        <f>F41/SUM($M$5:$M$23)</f>
        <v>8980.1121525270009</v>
      </c>
      <c r="H41" s="140"/>
      <c r="I41" s="140"/>
      <c r="J41" s="855"/>
      <c r="K41" s="1"/>
      <c r="L41" s="1"/>
      <c r="M41" s="1"/>
      <c r="N41" s="1"/>
      <c r="O41" s="1"/>
      <c r="P41" s="1"/>
      <c r="Q41" s="1"/>
      <c r="R41" s="1"/>
      <c r="T41" s="872" t="s">
        <v>114</v>
      </c>
      <c r="U41" s="1"/>
      <c r="V41" s="711">
        <f>'Capex-Final'!G40</f>
        <v>255861</v>
      </c>
      <c r="W41" s="832"/>
    </row>
    <row r="42" spans="2:25">
      <c r="B42" s="831"/>
      <c r="C42" s="856" t="s">
        <v>115</v>
      </c>
      <c r="D42" s="857">
        <f>D41/D24</f>
        <v>0.45337520960150662</v>
      </c>
      <c r="E42" s="858"/>
      <c r="F42" s="857">
        <f>F41/F24</f>
        <v>0.35276896767112187</v>
      </c>
      <c r="G42" s="1067"/>
      <c r="J42" s="832"/>
      <c r="K42" s="4"/>
      <c r="L42" s="4"/>
      <c r="M42" s="4"/>
      <c r="N42" s="4"/>
      <c r="T42" s="872" t="s">
        <v>116</v>
      </c>
      <c r="U42" s="1"/>
      <c r="V42" s="385">
        <f>'Capex-Final'!C41</f>
        <v>0.1</v>
      </c>
      <c r="W42" s="832"/>
    </row>
    <row r="43" spans="2:25" ht="15.6" customHeight="1">
      <c r="B43" s="853" t="s">
        <v>117</v>
      </c>
      <c r="C43" s="854"/>
      <c r="D43" s="99">
        <f>D24-D41</f>
        <v>2169127.7100000009</v>
      </c>
      <c r="E43" s="99"/>
      <c r="F43" s="99">
        <f>F24-F41</f>
        <v>3295191.9196746</v>
      </c>
      <c r="G43" s="99"/>
      <c r="H43" s="140"/>
      <c r="I43" s="140"/>
      <c r="J43" s="855"/>
      <c r="S43" s="325"/>
      <c r="T43" s="990" t="s">
        <v>118</v>
      </c>
      <c r="U43" s="194"/>
      <c r="V43" s="194"/>
      <c r="W43" s="884"/>
    </row>
    <row r="44" spans="2:25">
      <c r="B44" s="161" t="s">
        <v>119</v>
      </c>
      <c r="C44"/>
      <c r="D44" s="228">
        <f>D43/D6</f>
        <v>4.8920336265223296E-2</v>
      </c>
      <c r="E44" s="228"/>
      <c r="F44" s="228">
        <f>F43/'Cash Flows &amp; Summary'!U39</f>
        <v>6.4535406276977889E-2</v>
      </c>
      <c r="G44" s="310"/>
      <c r="J44" s="832"/>
      <c r="K44" s="4"/>
      <c r="L44" s="4"/>
      <c r="M44" s="4"/>
      <c r="N44" s="4"/>
      <c r="S44" s="325"/>
      <c r="T44" s="872" t="s">
        <v>120</v>
      </c>
      <c r="U44" s="1"/>
      <c r="V44" s="873">
        <v>0.02</v>
      </c>
      <c r="W44" s="832"/>
      <c r="Y44" s="312"/>
    </row>
    <row r="45" spans="2:25" ht="15.75" customHeight="1">
      <c r="B45" s="161" t="s">
        <v>121</v>
      </c>
      <c r="C45"/>
      <c r="D45" s="228"/>
      <c r="E45" s="228"/>
      <c r="F45" s="228">
        <f>'Pro Forma'!AR36/'Cash Flows &amp; Summary'!Q39</f>
        <v>6.8465612519245822E-2</v>
      </c>
      <c r="G45" s="310"/>
      <c r="J45" s="832"/>
      <c r="T45" s="872" t="s">
        <v>122</v>
      </c>
      <c r="U45" s="1"/>
      <c r="V45" s="873">
        <v>0.03</v>
      </c>
      <c r="W45" s="832"/>
    </row>
    <row r="46" spans="2:25">
      <c r="B46" s="179" t="s">
        <v>123</v>
      </c>
      <c r="C46"/>
      <c r="D46" s="231"/>
      <c r="E46" s="231"/>
      <c r="F46" s="231">
        <f>IFERROR(F43/(PMT(V22/12,V23*12, -'Cash Flows &amp; Summary'!R9)*12),"")</f>
        <v>1.9707773236341974</v>
      </c>
      <c r="G46" s="310"/>
      <c r="J46" s="832"/>
      <c r="T46" s="872" t="s">
        <v>124</v>
      </c>
      <c r="U46" s="1"/>
      <c r="V46" s="979">
        <v>0.03</v>
      </c>
      <c r="W46" s="832"/>
    </row>
    <row r="47" spans="2:25" ht="16.5" thickBot="1">
      <c r="B47" s="859" t="s">
        <v>125</v>
      </c>
      <c r="C47" s="183"/>
      <c r="D47" s="183"/>
      <c r="E47" s="183"/>
      <c r="F47" s="860">
        <f>(F41+Amortization!C7)/SUM('Inputs &amp; Assumptions'!F17:F19)</f>
        <v>0.57110408570351912</v>
      </c>
      <c r="G47" s="835"/>
      <c r="H47" s="835"/>
      <c r="I47" s="835"/>
      <c r="J47" s="836"/>
      <c r="T47" s="872" t="s">
        <v>126</v>
      </c>
      <c r="U47" s="1"/>
      <c r="V47" s="873">
        <v>0.03</v>
      </c>
      <c r="W47" s="832"/>
    </row>
    <row r="48" spans="2:25">
      <c r="B48" s="43"/>
      <c r="C48"/>
      <c r="D48"/>
      <c r="E48"/>
      <c r="T48" s="872" t="s">
        <v>73</v>
      </c>
      <c r="U48" s="1"/>
      <c r="V48" s="873">
        <v>5.0000000000000001E-3</v>
      </c>
      <c r="W48" s="832"/>
    </row>
    <row r="49" spans="20:25">
      <c r="T49" s="872" t="s">
        <v>127</v>
      </c>
      <c r="U49" s="1"/>
      <c r="V49" s="984">
        <v>0</v>
      </c>
      <c r="W49" s="832"/>
    </row>
    <row r="50" spans="20:25">
      <c r="T50" s="990" t="s">
        <v>128</v>
      </c>
      <c r="U50" s="340"/>
      <c r="V50" s="194"/>
      <c r="W50" s="884"/>
    </row>
    <row r="51" spans="20:25">
      <c r="T51" s="872" t="s">
        <v>129</v>
      </c>
      <c r="U51" s="1"/>
      <c r="V51" s="982" t="s">
        <v>130</v>
      </c>
      <c r="W51" s="885"/>
    </row>
    <row r="52" spans="20:25">
      <c r="T52" s="872" t="s">
        <v>131</v>
      </c>
      <c r="U52" s="1"/>
      <c r="V52" s="981">
        <v>0.01</v>
      </c>
      <c r="W52" s="832"/>
    </row>
    <row r="53" spans="20:25" ht="15" customHeight="1">
      <c r="T53" s="872" t="s">
        <v>132</v>
      </c>
      <c r="U53" s="1"/>
      <c r="V53" s="981">
        <v>0.18</v>
      </c>
      <c r="W53" s="886">
        <f>'Pro Forma'!R9</f>
        <v>0.17999999999999997</v>
      </c>
    </row>
    <row r="54" spans="20:25">
      <c r="T54" s="872" t="s">
        <v>133</v>
      </c>
      <c r="U54" s="1"/>
      <c r="V54" s="981">
        <v>0.12</v>
      </c>
      <c r="W54" s="832"/>
    </row>
    <row r="55" spans="20:25">
      <c r="T55" s="872" t="s">
        <v>134</v>
      </c>
      <c r="U55" s="1"/>
      <c r="V55" s="887">
        <v>0.05</v>
      </c>
      <c r="W55" s="832"/>
    </row>
    <row r="56" spans="20:25">
      <c r="T56" s="872" t="s">
        <v>135</v>
      </c>
      <c r="U56" s="1"/>
      <c r="V56" s="887">
        <v>0.1</v>
      </c>
      <c r="W56" s="832"/>
    </row>
    <row r="57" spans="20:25">
      <c r="T57" s="872" t="s">
        <v>136</v>
      </c>
      <c r="U57" s="1"/>
      <c r="V57" s="887">
        <v>0.05</v>
      </c>
      <c r="W57" s="832"/>
      <c r="Y57" s="364"/>
    </row>
    <row r="58" spans="20:25" ht="15.75" customHeight="1">
      <c r="T58" s="872" t="s">
        <v>137</v>
      </c>
      <c r="U58" s="1"/>
      <c r="V58" s="887">
        <v>0.05</v>
      </c>
      <c r="W58" s="888"/>
    </row>
    <row r="59" spans="20:25">
      <c r="T59" s="872" t="s">
        <v>138</v>
      </c>
      <c r="U59" s="1"/>
      <c r="V59" s="873">
        <v>5.0000000000000001E-4</v>
      </c>
      <c r="W59" s="832"/>
    </row>
    <row r="60" spans="20:25">
      <c r="T60" s="872" t="s">
        <v>139</v>
      </c>
      <c r="U60" s="1"/>
      <c r="V60" s="873">
        <v>5.0000000000000001E-4</v>
      </c>
      <c r="W60" s="832"/>
    </row>
    <row r="61" spans="20:25">
      <c r="T61" s="872" t="s">
        <v>140</v>
      </c>
      <c r="U61" s="1"/>
      <c r="V61" s="873">
        <v>5.0000000000000001E-4</v>
      </c>
      <c r="W61" s="832"/>
    </row>
    <row r="62" spans="20:25" ht="17.100000000000001" customHeight="1">
      <c r="T62" s="990" t="s">
        <v>141</v>
      </c>
      <c r="U62" s="194"/>
      <c r="V62" s="194"/>
      <c r="W62" s="884"/>
    </row>
    <row r="63" spans="20:25">
      <c r="T63" s="872" t="s">
        <v>142</v>
      </c>
      <c r="U63" s="1"/>
      <c r="V63" s="982">
        <v>0</v>
      </c>
      <c r="W63" s="832">
        <f>V63*12</f>
        <v>0</v>
      </c>
    </row>
    <row r="64" spans="20:25">
      <c r="T64" s="872" t="s">
        <v>143</v>
      </c>
      <c r="U64" s="985"/>
      <c r="V64" s="986">
        <f>'Cash Flows &amp; Summary'!V14</f>
        <v>70643191.166372836</v>
      </c>
      <c r="W64" s="889"/>
    </row>
    <row r="65" spans="19:23">
      <c r="T65" s="872" t="s">
        <v>144</v>
      </c>
      <c r="U65" s="1"/>
      <c r="V65" s="873">
        <v>5.2499999999999998E-2</v>
      </c>
      <c r="W65" s="832"/>
    </row>
    <row r="66" spans="19:23">
      <c r="S66" s="328"/>
      <c r="T66" s="872" t="s">
        <v>145</v>
      </c>
      <c r="U66" s="1"/>
      <c r="V66" s="887">
        <v>1.4999999999999999E-2</v>
      </c>
      <c r="W66" s="832"/>
    </row>
    <row r="67" spans="19:23">
      <c r="T67" s="872" t="s">
        <v>146</v>
      </c>
      <c r="U67" s="1"/>
      <c r="V67" s="890">
        <f>W67*V64</f>
        <v>706431.91166372842</v>
      </c>
      <c r="W67" s="891">
        <v>0.01</v>
      </c>
    </row>
    <row r="68" spans="19:23">
      <c r="T68" s="872" t="s">
        <v>147</v>
      </c>
      <c r="U68" s="1"/>
      <c r="V68" s="980">
        <v>5</v>
      </c>
      <c r="W68" s="832">
        <f>V68*12</f>
        <v>60</v>
      </c>
    </row>
    <row r="69" spans="19:23">
      <c r="T69" s="990" t="s">
        <v>148</v>
      </c>
      <c r="U69" s="194"/>
      <c r="V69" s="194"/>
      <c r="W69" s="884"/>
    </row>
    <row r="70" spans="19:23">
      <c r="T70" s="831" t="s">
        <v>129</v>
      </c>
      <c r="V70" s="4" t="s">
        <v>130</v>
      </c>
      <c r="W70" s="832"/>
    </row>
    <row r="71" spans="19:23">
      <c r="T71" s="872" t="s">
        <v>149</v>
      </c>
      <c r="U71" s="1"/>
      <c r="V71" s="385">
        <v>0.03</v>
      </c>
      <c r="W71" s="832"/>
    </row>
    <row r="72" spans="19:23">
      <c r="T72" s="872" t="s">
        <v>150</v>
      </c>
      <c r="U72" s="1"/>
      <c r="V72" s="385">
        <v>0.03</v>
      </c>
      <c r="W72" s="832"/>
    </row>
    <row r="73" spans="19:23">
      <c r="T73" s="872" t="s">
        <v>151</v>
      </c>
      <c r="U73" s="1"/>
      <c r="V73" s="385">
        <v>0.03</v>
      </c>
      <c r="W73" s="832"/>
    </row>
    <row r="74" spans="19:23" ht="15.95" customHeight="1">
      <c r="S74" s="104"/>
      <c r="T74" s="872" t="s">
        <v>152</v>
      </c>
      <c r="U74" s="1"/>
      <c r="V74" s="385">
        <v>0.03</v>
      </c>
      <c r="W74" s="832"/>
    </row>
    <row r="75" spans="19:23">
      <c r="T75" s="872" t="s">
        <v>153</v>
      </c>
      <c r="U75" s="1"/>
      <c r="V75" s="385">
        <v>0.03</v>
      </c>
      <c r="W75" s="832"/>
    </row>
    <row r="76" spans="19:23">
      <c r="T76" s="872" t="s">
        <v>154</v>
      </c>
      <c r="U76" s="1"/>
      <c r="V76" s="385">
        <v>0.03</v>
      </c>
      <c r="W76" s="832"/>
    </row>
    <row r="77" spans="19:23">
      <c r="T77" s="872" t="s">
        <v>155</v>
      </c>
      <c r="U77" s="1"/>
      <c r="V77" s="385">
        <v>0.03</v>
      </c>
      <c r="W77" s="832"/>
    </row>
    <row r="78" spans="19:23" ht="16.5" thickBot="1">
      <c r="T78" s="977" t="s">
        <v>156</v>
      </c>
      <c r="U78" s="978"/>
      <c r="V78" s="892">
        <v>0.03</v>
      </c>
      <c r="W78" s="836"/>
    </row>
  </sheetData>
  <mergeCells count="5">
    <mergeCell ref="AA22:AF22"/>
    <mergeCell ref="AA14:AF14"/>
    <mergeCell ref="AA6:AF6"/>
    <mergeCell ref="B3:J3"/>
    <mergeCell ref="AA3:AF3"/>
  </mergeCells>
  <conditionalFormatting sqref="AB8:AE12">
    <cfRule type="colorScale" priority="3">
      <colorScale>
        <cfvo type="min"/>
        <cfvo type="percentile" val="50"/>
        <cfvo type="max"/>
        <color rgb="FFF8696B"/>
        <color rgb="FFFCFCFF"/>
        <color rgb="FF63BE7B"/>
      </colorScale>
    </cfRule>
  </conditionalFormatting>
  <conditionalFormatting sqref="AB16:AF20">
    <cfRule type="colorScale" priority="2">
      <colorScale>
        <cfvo type="min"/>
        <cfvo type="percentile" val="50"/>
        <cfvo type="max"/>
        <color rgb="FFF8696B"/>
        <color rgb="FFFCFCFF"/>
        <color rgb="FF63BE7B"/>
      </colorScale>
    </cfRule>
  </conditionalFormatting>
  <conditionalFormatting sqref="AB25:AF29">
    <cfRule type="colorScale" priority="1">
      <colorScale>
        <cfvo type="min"/>
        <cfvo type="percentile" val="50"/>
        <cfvo type="max"/>
        <color rgb="FFF8696B"/>
        <color rgb="FFFCFCFF"/>
        <color rgb="FF63BE7B"/>
      </colorScale>
    </cfRule>
  </conditionalFormatting>
  <dataValidations count="4">
    <dataValidation type="list" allowBlank="1" showInputMessage="1" showErrorMessage="1" sqref="V51 V18 V70" xr:uid="{F0A78DBD-6268-644E-8F70-B857D6E22C17}">
      <formula1>"Yes,No"</formula1>
    </dataValidation>
    <dataValidation type="list" allowBlank="1" showInputMessage="1" showErrorMessage="1" sqref="T12" xr:uid="{4C33A829-7755-8140-BB76-CAC10344A94E}">
      <formula1>"Interest Rate,LIBOR Plus"</formula1>
    </dataValidation>
    <dataValidation type="list" allowBlank="1" showInputMessage="1" showErrorMessage="1" sqref="V68" xr:uid="{386528E5-82B0-5A42-967A-D2542A08D171}">
      <formula1>"3,4,5,6,7,8,9,10,2,1"</formula1>
    </dataValidation>
    <dataValidation type="list" allowBlank="1" showInputMessage="1" showErrorMessage="1" sqref="T26" xr:uid="{87876D2E-1A44-0C45-B4B9-1C06CB77855F}">
      <formula1>"Mezzanine Loan, Preferred Equity, Supplemental"</formula1>
    </dataValidation>
  </dataValidations>
  <pageMargins left="0.7" right="0.7" top="0.75" bottom="0.75" header="0.3" footer="0.3"/>
  <pageSetup orientation="portrait" r:id="rId1"/>
  <cellWatches>
    <cellWatch r="H27"/>
    <cellWatch r="H26"/>
    <cellWatch r="H28"/>
    <cellWatch r="H30"/>
    <cellWatch r="H29"/>
    <cellWatch r="J27"/>
    <cellWatch r="J26"/>
    <cellWatch r="J28"/>
    <cellWatch r="H32"/>
    <cellWatch r="J32"/>
    <cellWatch r="J31"/>
    <cellWatch r="H31"/>
    <cellWatch r="J29"/>
    <cellWatch r="G27"/>
    <cellWatch r="G26"/>
    <cellWatch r="G28"/>
    <cellWatch r="I27"/>
    <cellWatch r="I26"/>
    <cellWatch r="I28"/>
    <cellWatch r="G30"/>
    <cellWatch r="G29"/>
    <cellWatch r="G32"/>
    <cellWatch r="I32"/>
    <cellWatch r="I31"/>
    <cellWatch r="J30"/>
    <cellWatch r="I29"/>
    <cellWatch r="I30"/>
    <cellWatch r="H25"/>
    <cellWatch r="H24"/>
    <cellWatch r="H33"/>
    <cellWatch r="J25"/>
    <cellWatch r="J24"/>
    <cellWatch r="J33"/>
    <cellWatch r="G25"/>
    <cellWatch r="G24"/>
    <cellWatch r="G33"/>
    <cellWatch r="I25"/>
    <cellWatch r="I24"/>
    <cellWatch r="I33"/>
    <cellWatch r="G31"/>
    <cellWatch r="C24"/>
    <cellWatch r="C25"/>
    <cellWatch r="C32"/>
    <cellWatch r="C31"/>
    <cellWatch r="C30"/>
    <cellWatch r="C33"/>
    <cellWatch r="C27"/>
    <cellWatch r="C26"/>
    <cellWatch r="C29"/>
    <cellWatch r="C28"/>
    <cellWatch r="F16"/>
    <cellWatch r="F25"/>
    <cellWatch r="F24"/>
    <cellWatch r="F27"/>
    <cellWatch r="F18"/>
    <cellWatch r="F17"/>
    <cellWatch r="F34"/>
    <cellWatch r="F33"/>
    <cellWatch r="F42"/>
    <cellWatch r="F41"/>
    <cellWatch r="L8"/>
    <cellWatch r="H18"/>
    <cellWatch r="H23"/>
    <cellWatch r="H22"/>
    <cellWatch r="H21"/>
    <cellWatch r="H34"/>
    <cellWatch r="H42"/>
    <cellWatch r="H41"/>
    <cellWatch r="L6"/>
    <cellWatch r="F32"/>
    <cellWatch r="F35"/>
    <cellWatch r="F43"/>
    <cellWatch r="U55"/>
    <cellWatch r="T17"/>
    <cellWatch r="F29"/>
    <cellWatch r="F28"/>
    <cellWatch r="F37"/>
    <cellWatch r="F36"/>
    <cellWatch r="F40"/>
    <cellWatch r="T55"/>
    <cellWatch r="F31"/>
    <cellWatch r="F39"/>
    <cellWatch r="H40"/>
    <cellWatch r="H39"/>
    <cellWatch r="F23"/>
    <cellWatch r="K6"/>
    <cellWatch r="K11"/>
    <cellWatch r="J2"/>
    <cellWatch r="F22"/>
    <cellWatch r="F30"/>
    <cellWatch r="F38"/>
    <cellWatch r="E12"/>
    <cellWatch r="E11"/>
    <cellWatch r="E7"/>
    <cellWatch r="K7"/>
    <cellWatch r="G18"/>
    <cellWatch r="G23"/>
    <cellWatch r="G22"/>
    <cellWatch r="G21"/>
    <cellWatch r="G34"/>
    <cellWatch r="G42"/>
    <cellWatch r="G41"/>
    <cellWatch r="E6"/>
    <cellWatch r="S24"/>
    <cellWatch r="S22"/>
    <cellWatch r="S20"/>
    <cellWatch r="S18"/>
    <cellWatch r="E5"/>
    <cellWatch r="S21"/>
    <cellWatch r="S66"/>
    <cellWatch r="G40"/>
    <cellWatch r="M4"/>
    <cellWatch r="M8"/>
    <cellWatch r="H17"/>
    <cellWatch r="H36"/>
    <cellWatch r="H35"/>
    <cellWatch r="U59"/>
    <cellWatch r="T59"/>
    <cellWatch r="H43"/>
    <cellWatch r="F44"/>
    <cellWatch r="F46"/>
    <cellWatch r="H37"/>
    <cellWatch r="H46"/>
    <cellWatch r="H44"/>
    <cellWatch r="H16"/>
    <cellWatch r="J16"/>
    <cellWatch r="U52"/>
    <cellWatch r="T52"/>
    <cellWatch r="K12"/>
    <cellWatch r="F53"/>
    <cellWatch r="F52"/>
    <cellWatch r="L87"/>
    <cellWatch r="F49"/>
    <cellWatch r="F51"/>
    <cellWatch r="F54"/>
    <cellWatch r="F50"/>
    <cellWatch r="T68"/>
    <cellWatch r="U68"/>
    <cellWatch r="V25"/>
    <cellWatch r="V23"/>
    <cellWatch r="V17"/>
    <cellWatch r="V12"/>
    <cellWatch r="L5"/>
    <cellWatch r="V22"/>
    <cellWatch r="J18"/>
    <cellWatch r="J23"/>
    <cellWatch r="J22"/>
    <cellWatch r="J21"/>
    <cellWatch r="J34"/>
    <cellWatch r="J42"/>
    <cellWatch r="J41"/>
    <cellWatch r="K5"/>
    <cellWatch r="P4"/>
    <cellWatch r="P8"/>
    <cellWatch r="J40"/>
    <cellWatch r="J39"/>
    <cellWatch r="L2"/>
    <cellWatch r="M18"/>
    <cellWatch r="M22"/>
    <cellWatch r="J35"/>
    <cellWatch r="J43"/>
    <cellWatch r="V21"/>
    <cellWatch r="V55"/>
    <cellWatch r="J37"/>
    <cellWatch r="J36"/>
    <cellWatch r="J46"/>
    <cellWatch r="J44"/>
    <cellWatch r="G20"/>
    <cellWatch r="G19"/>
    <cellWatch r="O8"/>
    <cellWatch r="L19"/>
    <cellWatch r="L25"/>
    <cellWatch r="L24"/>
    <cellWatch r="L23"/>
    <cellWatch r="L22"/>
    <cellWatch r="L20"/>
    <cellWatch r="M6"/>
    <cellWatch r="O6"/>
    <cellWatch r="M5"/>
    <cellWatch r="S16"/>
    <cellWatch r="F3"/>
    <cellWatch r="F19"/>
    <cellWatch r="F20"/>
    <cellWatch r="K19"/>
    <cellWatch r="K25"/>
    <cellWatch r="K24"/>
    <cellWatch r="K23"/>
    <cellWatch r="K22"/>
    <cellWatch r="K20"/>
    <cellWatch r="G36"/>
    <cellWatch r="G35"/>
    <cellWatch r="G44"/>
    <cellWatch r="G43"/>
    <cellWatch r="F26"/>
    <cellWatch r="P17"/>
    <cellWatch r="P20"/>
    <cellWatch r="L18"/>
    <cellWatch r="H38"/>
    <cellWatch r="S19"/>
    <cellWatch r="T66"/>
    <cellWatch r="U66"/>
    <cellWatch r="S23"/>
    <cellWatch r="L17"/>
    <cellWatch r="F94"/>
    <cellWatch r="F95"/>
    <cellWatch r="F102"/>
    <cellWatch r="F101"/>
    <cellWatch r="F103"/>
    <cellWatch r="F93"/>
    <cellWatch r="L151"/>
    <cellWatch r="F98"/>
    <cellWatch r="F97"/>
    <cellWatch r="F96"/>
    <cellWatch r="F110"/>
    <cellWatch r="F109"/>
    <cellWatch r="F118"/>
    <cellWatch r="F117"/>
    <cellWatch r="O152"/>
    <cellWatch r="O155"/>
    <cellWatch r="F99"/>
    <cellWatch r="F106"/>
    <cellWatch r="F105"/>
    <cellWatch r="F114"/>
    <cellWatch r="F113"/>
    <cellWatch r="L152"/>
    <cellWatch r="F100"/>
    <cellWatch r="F108"/>
    <cellWatch r="F116"/>
    <cellWatch r="F111"/>
    <cellWatch r="F119"/>
    <cellWatch r="F107"/>
    <cellWatch r="F115"/>
    <cellWatch r="H93"/>
    <cellWatch r="H96"/>
    <cellWatch r="H101"/>
    <cellWatch r="H100"/>
    <cellWatch r="H99"/>
    <cellWatch r="H98"/>
    <cellWatch r="H97"/>
    <cellWatch r="H107"/>
    <cellWatch r="H106"/>
    <cellWatch r="H115"/>
    <cellWatch r="H114"/>
    <cellWatch r="H105"/>
    <cellWatch r="S25"/>
    <cellWatch r="V66"/>
    <cellWatch r="V24"/>
    <cellWatch r="V14"/>
    <cellWatch r="V13"/>
    <cellWatch r="O5"/>
    <cellWatch r="S7"/>
    <cellWatch r="L30"/>
    <cellWatch r="S11"/>
    <cellWatch r="L37"/>
    <cellWatch r="L36"/>
    <cellWatch r="L45"/>
    <cellWatch r="L44"/>
    <cellWatch r="S6"/>
    <cellWatch r="L35"/>
    <cellWatch r="L34"/>
    <cellWatch r="L43"/>
    <cellWatch r="L42"/>
    <cellWatch r="L33"/>
    <cellWatch r="W66"/>
    <cellWatch r="P6"/>
    <cellWatch r="L31"/>
    <cellWatch r="L38"/>
    <cellWatch r="W68"/>
    <cellWatch r="V68"/>
    <cellWatch r="L32"/>
    <cellWatch r="L40"/>
    <cellWatch r="L39"/>
    <cellWatch r="L46"/>
    <cellWatch r="L27"/>
    <cellWatch r="T65"/>
    <cellWatch r="U65"/>
    <cellWatch r="K27"/>
    <cellWatch r="F92"/>
    <cellWatch r="L150"/>
    <cellWatch r="O151"/>
    <cellWatch r="O154"/>
    <cellWatch r="F104"/>
    <cellWatch r="F112"/>
    <cellWatch r="H92"/>
    <cellWatch r="H95"/>
    <cellWatch r="H113"/>
    <cellWatch r="H104"/>
    <cellWatch r="V65"/>
    <cellWatch r="O27"/>
    <cellWatch r="L41"/>
    <cellWatch r="W65"/>
    <cellWatch r="P18"/>
    <cellWatch r="P21"/>
    <cellWatch r="S26"/>
    <cellWatch r="S12"/>
    <cellWatch r="D7"/>
    <cellWatch r="O17"/>
    <cellWatch r="P19"/>
    <cellWatch r="H2"/>
    <cellWatch r="E4"/>
    <cellWatch r="E3"/>
    <cellWatch r="T47"/>
    <cellWatch r="O18"/>
    <cellWatch r="K17"/>
    <cellWatch r="O20"/>
    <cellWatch r="T62"/>
    <cellWatch r="C23"/>
    <cellWatch r="C22"/>
    <cellWatch r="D12"/>
    <cellWatch r="D11"/>
    <cellWatch r="C34"/>
    <cellWatch r="C41"/>
    <cellWatch r="C40"/>
    <cellWatch r="C35"/>
    <cellWatch r="C42"/>
    <cellWatch r="C37"/>
    <cellWatch r="C36"/>
    <cellWatch r="C39"/>
    <cellWatch r="O23"/>
    <cellWatch r="H87"/>
    <cellWatch r="H88"/>
    <cellWatch r="G88"/>
    <cellWatch r="G91"/>
    <cellWatch r="G96"/>
    <cellWatch r="G95"/>
    <cellWatch r="L146"/>
    <cellWatch r="G94"/>
    <cellWatch r="G93"/>
    <cellWatch r="G92"/>
    <cellWatch r="G102"/>
    <cellWatch r="G101"/>
    <cellWatch r="G110"/>
    <cellWatch r="G109"/>
    <cellWatch r="G100"/>
    <cellWatch r="O24"/>
    <cellWatch r="O28"/>
    <cellWatch r="G37"/>
    <cellWatch r="G38"/>
    <cellWatch r="S70"/>
    <cellWatch r="H19"/>
    <cellWatch r="H20"/>
    <cellWatch r="T70"/>
    <cellWatch r="J17"/>
    <cellWatch r="S71"/>
    <cellWatch r="P28"/>
    <cellWatch r="P27"/>
    <cellWatch r="P25"/>
    <cellWatch r="P58"/>
    <cellWatch r="M17"/>
    <cellWatch r="M20"/>
    <cellWatch r="J94"/>
    <cellWatch r="F120"/>
    <cellWatch r="J95"/>
    <cellWatch r="F121"/>
    <cellWatch r="H103"/>
    <cellWatch r="H102"/>
    <cellWatch r="L153"/>
    <cellWatch r="H109"/>
    <cellWatch r="H108"/>
    <cellWatch r="H117"/>
    <cellWatch r="H116"/>
    <cellWatch r="F47"/>
    <cellWatch r="S69"/>
    <cellWatch r="S60"/>
    <cellWatch r="F55"/>
    <cellWatch r="F56"/>
    <cellWatch r="T75"/>
    <cellWatch r="T25"/>
    <cellWatch r="T24"/>
    <cellWatch r="T14"/>
    <cellWatch r="T13"/>
    <cellWatch r="T23"/>
    <cellWatch r="J19"/>
    <cellWatch r="J20"/>
    <cellWatch r="V70"/>
    <cellWatch r="U17"/>
    <cellWatch r="U70"/>
    <cellWatch r="J38"/>
    <cellWatch r="O22"/>
    <cellWatch r="G46"/>
    <cellWatch r="T99"/>
    <cellWatch r="S67"/>
    <cellWatch r="F81"/>
    <cellWatch r="S55"/>
    <cellWatch r="F82"/>
    <cellWatch r="F75"/>
    <cellWatch r="P80"/>
    <cellWatch r="P79"/>
    <cellWatch r="P78"/>
    <cellWatch r="P110"/>
    <cellWatch r="T100"/>
    <cellWatch r="S74"/>
    <cellWatch r="F83"/>
    <cellWatch r="F129"/>
    <cellWatch r="F130"/>
    <cellWatch r="F137"/>
    <cellWatch r="F136"/>
    <cellWatch r="F138"/>
    <cellWatch r="F128"/>
    <cellWatch r="J127"/>
    <cellWatch r="F133"/>
    <cellWatch r="F132"/>
    <cellWatch r="F131"/>
    <cellWatch r="F145"/>
    <cellWatch r="F144"/>
    <cellWatch r="F153"/>
    <cellWatch r="F152"/>
    <cellWatch r="F134"/>
    <cellWatch r="F141"/>
    <cellWatch r="F140"/>
    <cellWatch r="F149"/>
    <cellWatch r="F148"/>
    <cellWatch r="J128"/>
    <cellWatch r="F135"/>
    <cellWatch r="F143"/>
    <cellWatch r="F151"/>
    <cellWatch r="F146"/>
    <cellWatch r="F154"/>
    <cellWatch r="F142"/>
    <cellWatch r="F150"/>
    <cellWatch r="H128"/>
    <cellWatch r="H131"/>
    <cellWatch r="H136"/>
    <cellWatch r="H135"/>
    <cellWatch r="L186"/>
    <cellWatch r="H134"/>
    <cellWatch r="H133"/>
    <cellWatch r="H132"/>
    <cellWatch r="H142"/>
    <cellWatch r="H141"/>
    <cellWatch r="H150"/>
    <cellWatch r="H149"/>
    <cellWatch r="H140"/>
    <cellWatch r="F80"/>
    <cellWatch r="T98"/>
    <cellWatch r="S109"/>
    <cellWatch r="F88"/>
    <cellWatch r="F89"/>
    <cellWatch r="T107"/>
    <cellWatch r="T108"/>
    <cellWatch r="S110"/>
    <cellWatch r="O74"/>
    <cellWatch r="O112"/>
    <cellWatch r="O107"/>
    <cellWatch r="G17"/>
    <cellWatch r="P107"/>
    <cellWatch r="O75"/>
    <cellWatch r="O113"/>
    <cellWatch r="D13"/>
    <cellWatch r="C18"/>
    <cellWatch r="C20"/>
    <cellWatch r="L75"/>
    <cellWatch r="H123"/>
    <cellWatch r="L184"/>
    <cellWatch r="L187"/>
    <cellWatch r="H124"/>
    <cellWatch r="G124"/>
    <cellWatch r="G127"/>
    <cellWatch r="G132"/>
    <cellWatch r="G131"/>
    <cellWatch r="J123"/>
    <cellWatch r="G130"/>
    <cellWatch r="G129"/>
    <cellWatch r="G128"/>
    <cellWatch r="G138"/>
    <cellWatch r="G137"/>
    <cellWatch r="G146"/>
    <cellWatch r="G145"/>
    <cellWatch r="G136"/>
    <cellWatch r="L74"/>
    <cellWatch r="L81"/>
    <cellWatch r="G52"/>
    <cellWatch r="G51"/>
    <cellWatch r="U98"/>
    <cellWatch r="U62"/>
    <cellWatch r="V98"/>
    <cellWatch r="V99"/>
    <cellWatch r="U99"/>
    <cellWatch r="P24"/>
    <cellWatch r="J91"/>
    <cellWatch r="J92"/>
    <cellWatch r="S58"/>
    <cellWatch r="S59"/>
    <cellWatch r="T22"/>
    <cellWatch r="T21"/>
    <cellWatch r="S27"/>
    <cellWatch r="J93"/>
    <cellWatch r="S5"/>
    <cellWatch r="P5"/>
    <cellWatch r="S4"/>
    <cellWatch r="S8"/>
    <cellWatch r="O3"/>
    <cellWatch r="S54"/>
    <cellWatch r="H94"/>
    <cellWatch r="O4"/>
    <cellWatch r="P47"/>
    <cellWatch r="O47"/>
    <cellWatch r="C19"/>
    <cellWatch r="C38"/>
    <cellWatch r="C21"/>
    <cellWatch r="H89"/>
    <cellWatch r="H90"/>
    <cellWatch r="G90"/>
    <cellWatch r="G98"/>
    <cellWatch r="G97"/>
    <cellWatch r="J89"/>
    <cellWatch r="G104"/>
    <cellWatch r="G103"/>
    <cellWatch r="G112"/>
    <cellWatch r="G111"/>
    <cellWatch r="P76"/>
    <cellWatch r="O21"/>
    <cellWatch r="P77"/>
    <cellWatch r="O25"/>
    <cellWatch r="L148"/>
    <cellWatch r="J87"/>
    <cellWatch r="M149"/>
    <cellWatch r="H4"/>
    <cellWatch r="P22"/>
    <cellWatch r="S29"/>
    <cellWatch r="L28"/>
    <cellWatch r="L29"/>
    <cellWatch r="L3"/>
    <cellWatch r="O29"/>
    <cellWatch r="O153"/>
    <cellWatch r="O156"/>
    <cellWatch r="M151"/>
    <cellWatch r="O30"/>
    <cellWatch r="M3"/>
    <cellWatch r="G16"/>
    <cellWatch r="F15"/>
    <cellWatch r="K16"/>
    <cellWatch r="K21"/>
    <cellWatch r="S13"/>
    <cellWatch r="K2"/>
    <cellWatch r="P13"/>
    <cellWatch r="K15"/>
    <cellWatch r="S15"/>
    <cellWatch r="K13"/>
    <cellWatch r="S14"/>
    <cellWatch r="M13"/>
    <cellWatch r="F91"/>
    <cellWatch r="F90"/>
    <cellWatch r="K148"/>
    <cellWatch r="O149"/>
    <cellWatch r="K149"/>
    <cellWatch r="M147"/>
    <cellWatch r="H112"/>
    <cellWatch r="H111"/>
    <cellWatch r="V11"/>
    <cellWatch r="M16"/>
    <cellWatch r="M21"/>
    <cellWatch r="K34"/>
    <cellWatch r="K33"/>
    <cellWatch r="K32"/>
    <cellWatch r="K31"/>
    <cellWatch r="K30"/>
    <cellWatch r="K28"/>
    <cellWatch r="W62"/>
    <cellWatch r="V62"/>
    <cellWatch r="K29"/>
    <cellWatch r="K18"/>
    <cellWatch r="U47"/>
    <cellWatch r="K147"/>
    <cellWatch r="O148"/>
    <cellWatch r="M146"/>
    <cellWatch r="H110"/>
    <cellWatch r="T50"/>
    <cellWatch r="U50"/>
    <cellWatch r="V59"/>
    <cellWatch r="M23"/>
    <cellWatch r="P15"/>
    <cellWatch r="C16"/>
    <cellWatch r="H84"/>
    <cellWatch r="M144"/>
    <cellWatch r="H85"/>
    <cellWatch r="G85"/>
    <cellWatch r="K143"/>
    <cellWatch r="G89"/>
    <cellWatch r="G99"/>
    <cellWatch r="G107"/>
    <cellWatch r="G106"/>
    <cellWatch r="H15"/>
    <cellWatch r="M15"/>
    <cellWatch r="E13"/>
    <cellWatch r="L13"/>
    <cellWatch r="M25"/>
    <cellWatch r="H91"/>
    <cellWatch r="M154"/>
    <cellWatch r="K150"/>
    <cellWatch r="M27"/>
    <cellWatch r="M24"/>
    <cellWatch r="T12"/>
    <cellWatch r="T11"/>
    <cellWatch r="O13"/>
    <cellWatch r="H47"/>
    <cellWatch r="F78"/>
    <cellWatch r="F79"/>
    <cellWatch r="M34"/>
    <cellWatch r="M37"/>
    <cellWatch r="G47"/>
    <cellWatch r="P75"/>
    <cellWatch r="L16"/>
    <cellWatch r="T97"/>
    <cellWatch r="F126"/>
    <cellWatch r="F127"/>
    <cellWatch r="F125"/>
    <cellWatch r="M184"/>
    <cellWatch r="M187"/>
    <cellWatch r="H125"/>
    <cellWatch r="F139"/>
    <cellWatch r="F147"/>
    <cellWatch r="K183"/>
    <cellWatch r="H130"/>
    <cellWatch r="H129"/>
    <cellWatch r="H139"/>
    <cellWatch r="H138"/>
    <cellWatch r="H147"/>
    <cellWatch r="H146"/>
    <cellWatch r="H137"/>
    <cellWatch r="M35"/>
    <cellWatch r="M38"/>
    <cellWatch r="F59"/>
    <cellWatch r="M33"/>
    <cellWatch r="M36"/>
    <cellWatch r="S106"/>
    <cellWatch r="F85"/>
    <cellWatch r="F86"/>
    <cellWatch r="T104"/>
    <cellWatch r="T105"/>
    <cellWatch r="S107"/>
    <cellWatch r="S57"/>
    <cellWatch r="P16"/>
    <cellWatch r="O15"/>
    <cellWatch r="O109"/>
    <cellWatch r="O110"/>
    <cellWatch r="C15"/>
    <cellWatch r="C46"/>
    <cellWatch r="C44"/>
    <cellWatch r="C47"/>
    <cellWatch r="C17"/>
    <cellWatch r="C43"/>
    <cellWatch r="K36"/>
    <cellWatch r="H120"/>
    <cellWatch r="K181"/>
    <cellWatch r="K184"/>
    <cellWatch r="H121"/>
    <cellWatch r="G121"/>
    <cellWatch r="G126"/>
    <cellWatch r="G125"/>
    <cellWatch r="G135"/>
    <cellWatch r="G134"/>
    <cellWatch r="G143"/>
    <cellWatch r="G142"/>
    <cellWatch r="G133"/>
    <cellWatch r="K37"/>
    <cellWatch r="S45"/>
    <cellWatch r="M148"/>
    <cellWatch r="S56"/>
    <cellWatch r="S52"/>
    <cellWatch r="M152"/>
    <cellWatch r="M150"/>
    <cellWatch r="M153"/>
    <cellWatch r="P45"/>
    <cellWatch r="O45"/>
    <cellWatch r="H86"/>
    <cellWatch r="G87"/>
    <cellWatch r="G108"/>
    <cellWatch r="K145"/>
    <cellWatch r="L147"/>
    <cellWatch r="K3"/>
    <cellWatch r="L149"/>
    <cellWatch r="T26"/>
    <cellWatch r="L21"/>
    <cellWatch r="V52"/>
    <cellWatch r="S134"/>
    <cellWatch r="S137"/>
    <cellWatch r="O147"/>
    <cellWatch r="V44"/>
    <cellWatch r="W52"/>
    <cellWatch r="W53"/>
    <cellWatch r="X16"/>
    <cellWatch r="X15"/>
    <cellWatch r="X14"/>
    <cellWatch r="X19"/>
    <cellWatch r="U8"/>
    <cellWatch r="U10"/>
    <cellWatch r="M42"/>
    <cellWatch r="M41"/>
    <cellWatch r="U7"/>
    <cellWatch r="M32"/>
    <cellWatch r="M31"/>
    <cellWatch r="M40"/>
    <cellWatch r="M39"/>
    <cellWatch r="M30"/>
    <cellWatch r="O2"/>
    <cellWatch r="T7"/>
    <cellWatch r="T10"/>
    <cellWatch r="M28"/>
    <cellWatch r="X22"/>
    <cellWatch r="X18"/>
    <cellWatch r="X52"/>
    <cellWatch r="M29"/>
    <cellWatch r="M43"/>
    <cellWatch r="S133"/>
    <cellWatch r="S136"/>
    <cellWatch r="O146"/>
    <cellWatch r="X51"/>
    <cellWatch r="X21"/>
    <cellWatch r="S43"/>
    <cellWatch r="V47"/>
    <cellWatch r="O144"/>
    <cellWatch r="M142"/>
  </cellWatches>
  <ignoredErrors>
    <ignoredError sqref="V17 V14 W53:W57 W65:W68 W60:W63 F18:F19 D22 E17:E23 D7:D8 Q5:R12 H4:H6 D9:D10 F47 V67 V19 V8 AA7:AF29 V10:V11 V41 V39:V40 V42" unlockedFormula="1"/>
    <ignoredError sqref="F28:F39"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04EC7-F43A-F246-B4DA-C55A26F49CB9}">
  <sheetPr codeName="Sheet7">
    <tabColor theme="4"/>
  </sheetPr>
  <dimension ref="B1:H55"/>
  <sheetViews>
    <sheetView workbookViewId="0"/>
  </sheetViews>
  <sheetFormatPr defaultColWidth="10.875" defaultRowHeight="15.75"/>
  <cols>
    <col min="1" max="1" width="2.5" style="54" customWidth="1"/>
    <col min="2" max="2" width="39.125" style="54" customWidth="1"/>
    <col min="3" max="3" width="12.5" style="54" customWidth="1"/>
    <col min="4" max="4" width="14.125" style="54" customWidth="1"/>
    <col min="5" max="5" width="12.5" style="54" customWidth="1"/>
    <col min="6" max="6" width="83.375" style="54" customWidth="1"/>
    <col min="7" max="7" width="14.125" style="54" customWidth="1"/>
    <col min="8" max="8" width="20" style="54" customWidth="1"/>
    <col min="9" max="16384" width="10.875" style="54"/>
  </cols>
  <sheetData>
    <row r="1" spans="2:8" ht="27" thickBot="1">
      <c r="B1" s="158" t="str">
        <f>'Inputs &amp; Assumptions'!D4&amp;" – Capital Expenditures Budget"</f>
        <v>Madison Overland Park – Capital Expenditures Budget</v>
      </c>
      <c r="C1" s="115"/>
      <c r="D1" s="116"/>
      <c r="E1" s="116"/>
      <c r="F1" s="117"/>
      <c r="G1" s="117"/>
      <c r="H1" s="116"/>
    </row>
    <row r="2" spans="2:8">
      <c r="F2" s="258" t="s">
        <v>734</v>
      </c>
    </row>
    <row r="3" spans="2:8" ht="21">
      <c r="B3" s="125" t="s">
        <v>181</v>
      </c>
      <c r="C3" s="126" t="s">
        <v>404</v>
      </c>
      <c r="D3" s="126" t="s">
        <v>405</v>
      </c>
      <c r="E3" s="126" t="s">
        <v>406</v>
      </c>
      <c r="F3" s="126" t="s">
        <v>407</v>
      </c>
      <c r="G3" s="126" t="s">
        <v>408</v>
      </c>
      <c r="H3" s="126" t="s">
        <v>735</v>
      </c>
    </row>
    <row r="4" spans="2:8">
      <c r="B4" s="109" t="s">
        <v>736</v>
      </c>
      <c r="C4" s="110">
        <v>50</v>
      </c>
      <c r="D4" s="110" t="s">
        <v>410</v>
      </c>
      <c r="E4" s="111">
        <v>1500</v>
      </c>
      <c r="F4" s="112" t="s">
        <v>737</v>
      </c>
      <c r="G4" s="113">
        <f>C4*E4</f>
        <v>75000</v>
      </c>
      <c r="H4" s="206">
        <v>6</v>
      </c>
    </row>
    <row r="5" spans="2:8" ht="47.25">
      <c r="B5" s="55" t="s">
        <v>738</v>
      </c>
      <c r="C5" s="56">
        <v>50</v>
      </c>
      <c r="D5" s="56" t="s">
        <v>410</v>
      </c>
      <c r="E5" s="57">
        <v>4500</v>
      </c>
      <c r="F5" s="59" t="s">
        <v>739</v>
      </c>
      <c r="G5" s="61">
        <f>C5*E5</f>
        <v>225000</v>
      </c>
      <c r="H5" s="207">
        <v>9</v>
      </c>
    </row>
    <row r="6" spans="2:8" ht="63">
      <c r="B6" s="109" t="s">
        <v>740</v>
      </c>
      <c r="C6" s="110">
        <v>16</v>
      </c>
      <c r="D6" s="110" t="s">
        <v>410</v>
      </c>
      <c r="E6" s="111">
        <v>15000</v>
      </c>
      <c r="F6" s="114" t="s">
        <v>741</v>
      </c>
      <c r="G6" s="113">
        <f>C6*E6</f>
        <v>240000</v>
      </c>
      <c r="H6" s="206">
        <v>12</v>
      </c>
    </row>
    <row r="7" spans="2:8" ht="18.75">
      <c r="B7" s="120" t="s">
        <v>412</v>
      </c>
      <c r="C7" s="122"/>
      <c r="D7" s="122"/>
      <c r="E7" s="123"/>
      <c r="F7" s="124"/>
      <c r="G7" s="121">
        <f>SUM(G4:G6)</f>
        <v>540000</v>
      </c>
      <c r="H7" s="122"/>
    </row>
    <row r="8" spans="2:8">
      <c r="B8" s="55"/>
      <c r="C8" s="56"/>
      <c r="D8" s="56"/>
      <c r="E8" s="57"/>
      <c r="F8" s="55"/>
      <c r="G8" s="56"/>
      <c r="H8" s="56"/>
    </row>
    <row r="9" spans="2:8" ht="21">
      <c r="B9" s="125" t="s">
        <v>413</v>
      </c>
      <c r="C9" s="126" t="s">
        <v>404</v>
      </c>
      <c r="D9" s="126" t="s">
        <v>405</v>
      </c>
      <c r="E9" s="126" t="s">
        <v>406</v>
      </c>
      <c r="F9" s="126" t="s">
        <v>407</v>
      </c>
      <c r="G9" s="126" t="s">
        <v>408</v>
      </c>
      <c r="H9" s="126" t="s">
        <v>735</v>
      </c>
    </row>
    <row r="10" spans="2:8" ht="63">
      <c r="B10" s="109" t="s">
        <v>742</v>
      </c>
      <c r="C10" s="110">
        <v>38</v>
      </c>
      <c r="D10" s="118" t="s">
        <v>743</v>
      </c>
      <c r="E10" s="111">
        <v>3000</v>
      </c>
      <c r="F10" s="114" t="s">
        <v>744</v>
      </c>
      <c r="G10" s="113">
        <f t="shared" ref="G10:G16" si="0">C10*E10</f>
        <v>114000</v>
      </c>
      <c r="H10" s="206">
        <v>12</v>
      </c>
    </row>
    <row r="11" spans="2:8">
      <c r="B11" s="55" t="s">
        <v>745</v>
      </c>
      <c r="C11" s="56">
        <v>220</v>
      </c>
      <c r="D11" s="56" t="s">
        <v>410</v>
      </c>
      <c r="E11" s="57">
        <v>1000</v>
      </c>
      <c r="F11" s="58" t="s">
        <v>746</v>
      </c>
      <c r="G11" s="61">
        <f t="shared" si="0"/>
        <v>220000</v>
      </c>
      <c r="H11" s="207">
        <v>18</v>
      </c>
    </row>
    <row r="12" spans="2:8">
      <c r="B12" s="119"/>
      <c r="C12" s="110">
        <v>220</v>
      </c>
      <c r="D12" s="110" t="s">
        <v>410</v>
      </c>
      <c r="E12" s="111">
        <v>800</v>
      </c>
      <c r="F12" s="112" t="s">
        <v>747</v>
      </c>
      <c r="G12" s="113">
        <f t="shared" si="0"/>
        <v>176000</v>
      </c>
      <c r="H12" s="208">
        <v>18</v>
      </c>
    </row>
    <row r="13" spans="2:8">
      <c r="C13" s="56">
        <v>220</v>
      </c>
      <c r="D13" s="56" t="s">
        <v>410</v>
      </c>
      <c r="E13" s="57">
        <v>500</v>
      </c>
      <c r="F13" s="58" t="s">
        <v>748</v>
      </c>
      <c r="G13" s="61">
        <f t="shared" si="0"/>
        <v>110000</v>
      </c>
      <c r="H13" s="209">
        <v>18</v>
      </c>
    </row>
    <row r="14" spans="2:8">
      <c r="B14" s="109" t="s">
        <v>749</v>
      </c>
      <c r="C14" s="110">
        <v>220</v>
      </c>
      <c r="D14" s="110" t="s">
        <v>410</v>
      </c>
      <c r="E14" s="111">
        <v>350</v>
      </c>
      <c r="F14" s="112" t="s">
        <v>750</v>
      </c>
      <c r="G14" s="113">
        <f t="shared" si="0"/>
        <v>77000</v>
      </c>
      <c r="H14" s="206">
        <v>12</v>
      </c>
    </row>
    <row r="15" spans="2:8" ht="31.5">
      <c r="B15" s="55" t="s">
        <v>751</v>
      </c>
      <c r="C15" s="56">
        <v>110</v>
      </c>
      <c r="D15" s="56" t="s">
        <v>410</v>
      </c>
      <c r="E15" s="57">
        <v>3500</v>
      </c>
      <c r="F15" s="58" t="s">
        <v>752</v>
      </c>
      <c r="G15" s="61">
        <f t="shared" si="0"/>
        <v>385000</v>
      </c>
      <c r="H15" s="207">
        <v>15</v>
      </c>
    </row>
    <row r="16" spans="2:8">
      <c r="B16" s="109" t="s">
        <v>753</v>
      </c>
      <c r="C16" s="110">
        <v>20</v>
      </c>
      <c r="D16" s="118" t="s">
        <v>415</v>
      </c>
      <c r="E16" s="111">
        <v>2000</v>
      </c>
      <c r="F16" s="112" t="s">
        <v>754</v>
      </c>
      <c r="G16" s="113">
        <f t="shared" si="0"/>
        <v>40000</v>
      </c>
      <c r="H16" s="206">
        <v>12</v>
      </c>
    </row>
    <row r="17" spans="2:8">
      <c r="B17" s="55"/>
      <c r="C17" s="56">
        <v>220</v>
      </c>
      <c r="D17" s="56" t="s">
        <v>755</v>
      </c>
      <c r="E17" s="57">
        <v>250</v>
      </c>
      <c r="F17" s="58" t="s">
        <v>756</v>
      </c>
      <c r="G17" s="61">
        <f>C17*E17</f>
        <v>55000</v>
      </c>
      <c r="H17" s="207">
        <v>12</v>
      </c>
    </row>
    <row r="18" spans="2:8" ht="31.5">
      <c r="B18" s="109" t="s">
        <v>757</v>
      </c>
      <c r="C18" s="110">
        <v>4</v>
      </c>
      <c r="D18" s="110" t="s">
        <v>415</v>
      </c>
      <c r="E18" s="111">
        <v>7500</v>
      </c>
      <c r="F18" s="112" t="s">
        <v>758</v>
      </c>
      <c r="G18" s="113">
        <f t="shared" ref="G18:G39" si="1">C18*E18</f>
        <v>30000</v>
      </c>
      <c r="H18" s="206">
        <v>6</v>
      </c>
    </row>
    <row r="19" spans="2:8">
      <c r="B19" s="55" t="s">
        <v>759</v>
      </c>
      <c r="C19" s="56">
        <v>1</v>
      </c>
      <c r="D19" s="56" t="s">
        <v>415</v>
      </c>
      <c r="E19" s="57">
        <v>25000</v>
      </c>
      <c r="F19" s="58" t="s">
        <v>760</v>
      </c>
      <c r="G19" s="61">
        <f t="shared" si="1"/>
        <v>25000</v>
      </c>
      <c r="H19" s="207">
        <v>6</v>
      </c>
    </row>
    <row r="20" spans="2:8" ht="31.5">
      <c r="B20" s="109" t="s">
        <v>761</v>
      </c>
      <c r="C20" s="110">
        <v>220</v>
      </c>
      <c r="D20" s="110" t="s">
        <v>449</v>
      </c>
      <c r="E20" s="111">
        <v>350</v>
      </c>
      <c r="F20" s="112" t="s">
        <v>762</v>
      </c>
      <c r="G20" s="113">
        <f t="shared" si="1"/>
        <v>77000</v>
      </c>
      <c r="H20" s="206">
        <v>12</v>
      </c>
    </row>
    <row r="21" spans="2:8" ht="31.5">
      <c r="B21" s="55" t="s">
        <v>761</v>
      </c>
      <c r="C21" s="56">
        <v>880</v>
      </c>
      <c r="D21" s="56" t="s">
        <v>763</v>
      </c>
      <c r="E21" s="57">
        <v>225</v>
      </c>
      <c r="F21" s="58" t="s">
        <v>762</v>
      </c>
      <c r="G21" s="61">
        <f t="shared" si="1"/>
        <v>198000</v>
      </c>
      <c r="H21" s="207">
        <v>12</v>
      </c>
    </row>
    <row r="22" spans="2:8">
      <c r="B22" s="109" t="s">
        <v>764</v>
      </c>
      <c r="C22" s="110">
        <v>23</v>
      </c>
      <c r="D22" s="110" t="s">
        <v>415</v>
      </c>
      <c r="E22" s="111">
        <v>24000</v>
      </c>
      <c r="F22" s="112" t="s">
        <v>765</v>
      </c>
      <c r="G22" s="113">
        <f t="shared" si="1"/>
        <v>552000</v>
      </c>
      <c r="H22" s="206">
        <v>12</v>
      </c>
    </row>
    <row r="23" spans="2:8">
      <c r="B23" s="55" t="s">
        <v>766</v>
      </c>
      <c r="C23" s="56">
        <v>23</v>
      </c>
      <c r="D23" s="60" t="s">
        <v>415</v>
      </c>
      <c r="E23" s="57">
        <v>5000</v>
      </c>
      <c r="F23" s="59" t="s">
        <v>767</v>
      </c>
      <c r="G23" s="61">
        <f t="shared" si="1"/>
        <v>115000</v>
      </c>
      <c r="H23" s="209">
        <v>6</v>
      </c>
    </row>
    <row r="24" spans="2:8">
      <c r="B24" s="109" t="s">
        <v>768</v>
      </c>
      <c r="C24" s="110">
        <v>23</v>
      </c>
      <c r="D24" s="110" t="s">
        <v>415</v>
      </c>
      <c r="E24" s="111">
        <v>12000</v>
      </c>
      <c r="F24" s="112" t="s">
        <v>769</v>
      </c>
      <c r="G24" s="113">
        <f t="shared" si="1"/>
        <v>276000</v>
      </c>
      <c r="H24" s="206">
        <v>6</v>
      </c>
    </row>
    <row r="25" spans="2:8" ht="31.5">
      <c r="B25" s="55" t="s">
        <v>770</v>
      </c>
      <c r="C25" s="56">
        <v>23</v>
      </c>
      <c r="D25" s="56" t="s">
        <v>415</v>
      </c>
      <c r="E25" s="57">
        <v>3000</v>
      </c>
      <c r="F25" s="58" t="s">
        <v>771</v>
      </c>
      <c r="G25" s="61">
        <f t="shared" si="1"/>
        <v>69000</v>
      </c>
      <c r="H25" s="207">
        <v>8</v>
      </c>
    </row>
    <row r="26" spans="2:8">
      <c r="B26" s="109" t="s">
        <v>772</v>
      </c>
      <c r="C26" s="110">
        <v>160</v>
      </c>
      <c r="D26" s="110" t="s">
        <v>410</v>
      </c>
      <c r="E26" s="111">
        <v>400</v>
      </c>
      <c r="F26" s="112" t="s">
        <v>773</v>
      </c>
      <c r="G26" s="113">
        <f t="shared" si="1"/>
        <v>64000</v>
      </c>
      <c r="H26" s="206">
        <v>9</v>
      </c>
    </row>
    <row r="27" spans="2:8">
      <c r="B27" s="55" t="s">
        <v>774</v>
      </c>
      <c r="C27" s="56">
        <v>1</v>
      </c>
      <c r="D27" s="56"/>
      <c r="E27" s="57">
        <v>39000</v>
      </c>
      <c r="F27" s="58" t="s">
        <v>775</v>
      </c>
      <c r="G27" s="61">
        <f t="shared" si="1"/>
        <v>39000</v>
      </c>
      <c r="H27" s="207">
        <v>6</v>
      </c>
    </row>
    <row r="28" spans="2:8">
      <c r="B28" s="109" t="s">
        <v>776</v>
      </c>
      <c r="C28" s="110">
        <v>1</v>
      </c>
      <c r="D28" s="110"/>
      <c r="E28" s="111">
        <v>21000</v>
      </c>
      <c r="F28" s="112" t="s">
        <v>777</v>
      </c>
      <c r="G28" s="113">
        <f t="shared" si="1"/>
        <v>21000</v>
      </c>
      <c r="H28" s="206">
        <v>6</v>
      </c>
    </row>
    <row r="29" spans="2:8" ht="31.5">
      <c r="B29" s="55" t="s">
        <v>778</v>
      </c>
      <c r="C29" s="56">
        <v>1</v>
      </c>
      <c r="D29" s="56" t="s">
        <v>779</v>
      </c>
      <c r="E29" s="57">
        <v>8000</v>
      </c>
      <c r="F29" s="59" t="s">
        <v>780</v>
      </c>
      <c r="G29" s="61">
        <f t="shared" si="1"/>
        <v>8000</v>
      </c>
      <c r="H29" s="207">
        <v>9</v>
      </c>
    </row>
    <row r="30" spans="2:8">
      <c r="B30" s="109" t="s">
        <v>781</v>
      </c>
      <c r="C30" s="110">
        <v>18</v>
      </c>
      <c r="D30" s="110"/>
      <c r="E30" s="111">
        <v>400</v>
      </c>
      <c r="F30" s="112" t="s">
        <v>782</v>
      </c>
      <c r="G30" s="113">
        <f t="shared" si="1"/>
        <v>7200</v>
      </c>
      <c r="H30" s="206">
        <v>9</v>
      </c>
    </row>
    <row r="31" spans="2:8">
      <c r="B31" s="55" t="s">
        <v>783</v>
      </c>
      <c r="C31" s="56">
        <v>1</v>
      </c>
      <c r="D31" s="56"/>
      <c r="E31" s="57">
        <v>15000</v>
      </c>
      <c r="F31" s="58" t="s">
        <v>784</v>
      </c>
      <c r="G31" s="61">
        <f t="shared" si="1"/>
        <v>15000</v>
      </c>
      <c r="H31" s="207">
        <v>6</v>
      </c>
    </row>
    <row r="32" spans="2:8" ht="31.5">
      <c r="B32" s="109" t="s">
        <v>785</v>
      </c>
      <c r="C32" s="110">
        <v>1</v>
      </c>
      <c r="D32" s="110"/>
      <c r="E32" s="111">
        <v>20000</v>
      </c>
      <c r="F32" s="114" t="s">
        <v>786</v>
      </c>
      <c r="G32" s="113">
        <f t="shared" si="1"/>
        <v>20000</v>
      </c>
      <c r="H32" s="206">
        <v>9</v>
      </c>
    </row>
    <row r="33" spans="2:8" ht="31.5">
      <c r="B33" s="55" t="s">
        <v>787</v>
      </c>
      <c r="C33" s="56">
        <v>3</v>
      </c>
      <c r="D33" s="56"/>
      <c r="E33" s="57">
        <v>12000</v>
      </c>
      <c r="F33" s="58" t="s">
        <v>788</v>
      </c>
      <c r="G33" s="61">
        <f t="shared" si="1"/>
        <v>36000</v>
      </c>
      <c r="H33" s="207">
        <v>9</v>
      </c>
    </row>
    <row r="34" spans="2:8">
      <c r="B34" s="109" t="s">
        <v>789</v>
      </c>
      <c r="C34" s="110">
        <v>1</v>
      </c>
      <c r="D34" s="110"/>
      <c r="E34" s="111">
        <v>18000</v>
      </c>
      <c r="F34" s="112" t="s">
        <v>790</v>
      </c>
      <c r="G34" s="113">
        <f t="shared" si="1"/>
        <v>18000</v>
      </c>
      <c r="H34" s="206">
        <v>12</v>
      </c>
    </row>
    <row r="35" spans="2:8">
      <c r="B35" s="55" t="s">
        <v>423</v>
      </c>
      <c r="C35" s="56">
        <v>2</v>
      </c>
      <c r="D35" s="56"/>
      <c r="E35" s="57">
        <v>13000</v>
      </c>
      <c r="F35" s="58" t="s">
        <v>791</v>
      </c>
      <c r="G35" s="61">
        <f t="shared" si="1"/>
        <v>26000</v>
      </c>
      <c r="H35" s="207">
        <v>6</v>
      </c>
    </row>
    <row r="36" spans="2:8" ht="47.25">
      <c r="B36" s="109" t="s">
        <v>426</v>
      </c>
      <c r="C36" s="110">
        <v>1</v>
      </c>
      <c r="D36" s="110"/>
      <c r="E36" s="111">
        <v>38000</v>
      </c>
      <c r="F36" s="114" t="s">
        <v>792</v>
      </c>
      <c r="G36" s="113">
        <f t="shared" si="1"/>
        <v>38000</v>
      </c>
      <c r="H36" s="206">
        <v>12</v>
      </c>
    </row>
    <row r="37" spans="2:8">
      <c r="B37" s="55" t="s">
        <v>793</v>
      </c>
      <c r="C37" s="56">
        <v>1</v>
      </c>
      <c r="D37" s="56"/>
      <c r="E37" s="57">
        <v>27000</v>
      </c>
      <c r="F37" s="58" t="s">
        <v>794</v>
      </c>
      <c r="G37" s="61">
        <f t="shared" si="1"/>
        <v>27000</v>
      </c>
      <c r="H37" s="207">
        <v>10</v>
      </c>
    </row>
    <row r="38" spans="2:8">
      <c r="B38" s="109" t="s">
        <v>429</v>
      </c>
      <c r="C38" s="110">
        <v>1</v>
      </c>
      <c r="D38" s="110"/>
      <c r="E38" s="111">
        <v>13000</v>
      </c>
      <c r="F38" s="112" t="s">
        <v>795</v>
      </c>
      <c r="G38" s="113">
        <f t="shared" si="1"/>
        <v>13000</v>
      </c>
      <c r="H38" s="206">
        <v>10</v>
      </c>
    </row>
    <row r="39" spans="2:8" ht="31.5">
      <c r="B39" s="55" t="s">
        <v>796</v>
      </c>
      <c r="C39" s="56">
        <v>1</v>
      </c>
      <c r="D39" s="56"/>
      <c r="E39" s="57">
        <v>60000</v>
      </c>
      <c r="F39" s="58" t="s">
        <v>797</v>
      </c>
      <c r="G39" s="61">
        <f t="shared" si="1"/>
        <v>60000</v>
      </c>
      <c r="H39" s="207">
        <v>12</v>
      </c>
    </row>
    <row r="40" spans="2:8" ht="18.75">
      <c r="B40" s="120" t="s">
        <v>437</v>
      </c>
      <c r="C40" s="122"/>
      <c r="D40" s="122"/>
      <c r="E40" s="123"/>
      <c r="F40" s="124"/>
      <c r="G40" s="121">
        <f>SUM(G10:G39)</f>
        <v>2911200</v>
      </c>
      <c r="H40" s="122"/>
    </row>
    <row r="41" spans="2:8">
      <c r="B41" s="62" t="s">
        <v>438</v>
      </c>
      <c r="C41" s="56"/>
      <c r="D41" s="56"/>
      <c r="E41" s="57"/>
      <c r="F41" s="55"/>
      <c r="G41" s="63">
        <f>G40+G7</f>
        <v>3451200</v>
      </c>
      <c r="H41" s="56"/>
    </row>
    <row r="42" spans="2:8">
      <c r="B42" s="50" t="s">
        <v>114</v>
      </c>
      <c r="C42" s="64">
        <v>0.05</v>
      </c>
      <c r="D42" s="56"/>
      <c r="E42" s="57"/>
      <c r="F42" s="55"/>
      <c r="G42" s="63">
        <f>G41*C42</f>
        <v>172560</v>
      </c>
      <c r="H42" s="56"/>
    </row>
    <row r="43" spans="2:8">
      <c r="B43" s="50" t="s">
        <v>439</v>
      </c>
      <c r="C43" s="64">
        <v>0.05</v>
      </c>
      <c r="D43" s="56"/>
      <c r="E43" s="57"/>
      <c r="G43" s="63">
        <f>(G41+G42)*C43</f>
        <v>181188</v>
      </c>
      <c r="H43" s="56"/>
    </row>
    <row r="44" spans="2:8" ht="18.75">
      <c r="B44" s="120" t="s">
        <v>440</v>
      </c>
      <c r="C44" s="127"/>
      <c r="D44" s="127"/>
      <c r="E44" s="128"/>
      <c r="F44" s="129"/>
      <c r="G44" s="121">
        <f>G41+G42+G43</f>
        <v>3804948</v>
      </c>
      <c r="H44" s="127"/>
    </row>
    <row r="45" spans="2:8">
      <c r="C45" s="60"/>
      <c r="D45" s="60"/>
      <c r="E45" s="60"/>
      <c r="G45" s="60"/>
      <c r="H45" s="60"/>
    </row>
    <row r="46" spans="2:8">
      <c r="C46" s="60"/>
      <c r="D46" s="60"/>
      <c r="E46" s="60"/>
      <c r="G46" s="60"/>
      <c r="H46" s="60"/>
    </row>
    <row r="47" spans="2:8">
      <c r="C47" s="60"/>
      <c r="D47" s="60"/>
      <c r="E47" s="60"/>
    </row>
    <row r="48" spans="2:8">
      <c r="C48" s="60"/>
      <c r="D48" s="60"/>
      <c r="E48" s="60"/>
    </row>
    <row r="49" spans="3:5">
      <c r="C49" s="60"/>
      <c r="D49" s="60"/>
      <c r="E49" s="60"/>
    </row>
    <row r="50" spans="3:5">
      <c r="C50" s="60"/>
      <c r="D50" s="60"/>
      <c r="E50" s="60"/>
    </row>
    <row r="51" spans="3:5">
      <c r="C51" s="60"/>
      <c r="D51" s="60"/>
      <c r="E51" s="60"/>
    </row>
    <row r="52" spans="3:5">
      <c r="C52" s="60"/>
      <c r="D52" s="60"/>
      <c r="E52" s="60"/>
    </row>
    <row r="53" spans="3:5">
      <c r="C53" s="60"/>
      <c r="D53" s="60"/>
      <c r="E53" s="60"/>
    </row>
    <row r="54" spans="3:5">
      <c r="C54" s="60"/>
      <c r="D54" s="60"/>
      <c r="E54" s="60"/>
    </row>
    <row r="55" spans="3:5">
      <c r="C55" s="60"/>
      <c r="D55" s="60"/>
      <c r="E55" s="60"/>
    </row>
  </sheetData>
  <pageMargins left="0.7" right="0.7" top="0.75" bottom="0.75" header="0.3" footer="0.3"/>
  <cellWatches>
    <cellWatch r="B111"/>
    <cellWatch r="J6"/>
    <cellWatch r="F10"/>
    <cellWatch r="F11"/>
    <cellWatch r="F18"/>
    <cellWatch r="F19"/>
    <cellWatch r="F9"/>
    <cellWatch r="J9"/>
    <cellWatch r="F14"/>
    <cellWatch r="F13"/>
    <cellWatch r="F12"/>
    <cellWatch r="F8"/>
    <cellWatch r="F7"/>
    <cellWatch r="F25"/>
    <cellWatch r="F24"/>
    <cellWatch r="F33"/>
    <cellWatch r="F32"/>
    <cellWatch r="N11"/>
    <cellWatch r="N14"/>
    <cellWatch r="F26"/>
    <cellWatch r="F34"/>
    <cellWatch r="J7"/>
    <cellWatch r="R47"/>
    <cellWatch r="R19"/>
    <cellWatch r="R18"/>
    <cellWatch r="J10"/>
    <cellWatch r="R15"/>
    <cellWatch r="R14"/>
    <cellWatch r="R13"/>
    <cellWatch r="F28"/>
    <cellWatch r="F27"/>
    <cellWatch r="J8"/>
    <cellWatch r="F5"/>
    <cellWatch r="F69"/>
    <cellWatch r="J5"/>
    <cellWatch r="F6"/>
    <cellWatch r="F23"/>
    <cellWatch r="F31"/>
    <cellWatch r="F16"/>
    <cellWatch r="L7"/>
    <cellWatch r="H10"/>
    <cellWatch r="H13"/>
    <cellWatch r="H18"/>
    <cellWatch r="H19"/>
    <cellWatch r="I8"/>
    <cellWatch r="L9"/>
    <cellWatch r="H16"/>
    <cellWatch r="H15"/>
    <cellWatch r="H14"/>
    <cellWatch r="I7"/>
    <cellWatch r="I6"/>
    <cellWatch r="H25"/>
    <cellWatch r="H24"/>
    <cellWatch r="H33"/>
    <cellWatch r="H32"/>
    <cellWatch r="L6"/>
    <cellWatch r="I5"/>
    <cellWatch r="H23"/>
    <cellWatch r="F21"/>
    <cellWatch r="F30"/>
    <cellWatch r="H21"/>
    <cellWatch r="H31"/>
    <cellWatch r="H30"/>
    <cellWatch r="H20"/>
    <cellWatch r="F70"/>
    <cellWatch r="J2"/>
    <cellWatch r="F15"/>
    <cellWatch r="F4"/>
    <cellWatch r="F3"/>
    <cellWatch r="F20"/>
    <cellWatch r="F29"/>
    <cellWatch r="S47"/>
    <cellWatch r="K6"/>
    <cellWatch r="K9"/>
    <cellWatch r="H12"/>
    <cellWatch r="H27"/>
    <cellWatch r="H26"/>
    <cellWatch r="S42"/>
    <cellWatch r="R12"/>
    <cellWatch r="F63"/>
    <cellWatch r="R16"/>
    <cellWatch r="R42"/>
    <cellWatch r="N13"/>
    <cellWatch r="F35"/>
    <cellWatch r="L8"/>
    <cellWatch r="H11"/>
    <cellWatch r="I9"/>
    <cellWatch r="L10"/>
    <cellWatch r="N12"/>
    <cellWatch r="N15"/>
    <cellWatch r="J11"/>
    <cellWatch r="H34"/>
    <cellWatch r="S48"/>
    <cellWatch r="R48"/>
    <cellWatch r="F71"/>
    <cellWatch r="K7"/>
    <cellWatch r="K10"/>
    <cellWatch r="E10"/>
    <cellWatch r="E11"/>
    <cellWatch r="E18"/>
    <cellWatch r="E19"/>
    <cellWatch r="E9"/>
    <cellWatch r="E14"/>
    <cellWatch r="E13"/>
    <cellWatch r="E12"/>
    <cellWatch r="E8"/>
    <cellWatch r="E7"/>
    <cellWatch r="E25"/>
    <cellWatch r="E24"/>
    <cellWatch r="E33"/>
    <cellWatch r="E32"/>
    <cellWatch r="G10"/>
    <cellWatch r="G13"/>
    <cellWatch r="G18"/>
    <cellWatch r="G19"/>
    <cellWatch r="H8"/>
    <cellWatch r="G16"/>
    <cellWatch r="G15"/>
    <cellWatch r="G14"/>
    <cellWatch r="H7"/>
    <cellWatch r="H6"/>
    <cellWatch r="G25"/>
    <cellWatch r="G24"/>
    <cellWatch r="G33"/>
    <cellWatch r="G32"/>
    <cellWatch r="H5"/>
    <cellWatch r="G23"/>
    <cellWatch r="E6"/>
    <cellWatch r="E23"/>
    <cellWatch r="E26"/>
    <cellWatch r="E34"/>
    <cellWatch r="Q19"/>
    <cellWatch r="Q18"/>
    <cellWatch r="I10"/>
    <cellWatch r="Q15"/>
    <cellWatch r="Q14"/>
    <cellWatch r="Q13"/>
    <cellWatch r="E28"/>
    <cellWatch r="E27"/>
    <cellWatch r="E5"/>
    <cellWatch r="E69"/>
    <cellWatch r="E31"/>
    <cellWatch r="Q47"/>
    <cellWatch r="E16"/>
    <cellWatch r="E21"/>
    <cellWatch r="E30"/>
    <cellWatch r="G21"/>
    <cellWatch r="G31"/>
    <cellWatch r="G30"/>
    <cellWatch r="G20"/>
    <cellWatch r="M11"/>
    <cellWatch r="M14"/>
    <cellWatch r="E70"/>
    <cellWatch r="N18"/>
    <cellWatch r="F117"/>
    <cellWatch r="F118"/>
    <cellWatch r="F125"/>
    <cellWatch r="F124"/>
    <cellWatch r="F126"/>
    <cellWatch r="F116"/>
    <cellWatch r="J116"/>
    <cellWatch r="F121"/>
    <cellWatch r="F120"/>
    <cellWatch r="F119"/>
    <cellWatch r="F133"/>
    <cellWatch r="F132"/>
    <cellWatch r="F141"/>
    <cellWatch r="F140"/>
    <cellWatch r="N118"/>
    <cellWatch r="N121"/>
    <cellWatch r="F122"/>
    <cellWatch r="F129"/>
    <cellWatch r="F128"/>
    <cellWatch r="F137"/>
    <cellWatch r="F136"/>
    <cellWatch r="J117"/>
    <cellWatch r="F123"/>
    <cellWatch r="F131"/>
    <cellWatch r="F139"/>
    <cellWatch r="F134"/>
    <cellWatch r="F142"/>
    <cellWatch r="F130"/>
    <cellWatch r="F138"/>
    <cellWatch r="H117"/>
    <cellWatch r="H120"/>
    <cellWatch r="H125"/>
    <cellWatch r="H124"/>
    <cellWatch r="L116"/>
    <cellWatch r="H123"/>
    <cellWatch r="H122"/>
    <cellWatch r="H121"/>
    <cellWatch r="H131"/>
    <cellWatch r="H130"/>
    <cellWatch r="H139"/>
    <cellWatch r="H138"/>
    <cellWatch r="H129"/>
    <cellWatch r="N19"/>
    <cellWatch r="F36"/>
    <cellWatch r="H28"/>
    <cellWatch r="H36"/>
    <cellWatch r="H35"/>
    <cellWatch r="F37"/>
    <cellWatch r="R46"/>
    <cellWatch r="F68"/>
    <cellWatch r="S46"/>
    <cellWatch r="N16"/>
    <cellWatch r="R55"/>
    <cellWatch r="F76"/>
    <cellWatch r="F77"/>
    <cellWatch r="S55"/>
    <cellWatch r="S56"/>
    <cellWatch r="R56"/>
    <cellWatch r="T46"/>
    <cellWatch r="T19"/>
    <cellWatch r="T18"/>
    <cellWatch r="T15"/>
    <cellWatch r="T14"/>
    <cellWatch r="T13"/>
    <cellWatch r="L5"/>
    <cellWatch r="N7"/>
    <cellWatch r="J13"/>
    <cellWatch r="J18"/>
    <cellWatch r="J19"/>
    <cellWatch r="K8"/>
    <cellWatch r="N9"/>
    <cellWatch r="J16"/>
    <cellWatch r="J15"/>
    <cellWatch r="J14"/>
    <cellWatch r="J25"/>
    <cellWatch r="J24"/>
    <cellWatch r="J33"/>
    <cellWatch r="J32"/>
    <cellWatch r="N6"/>
    <cellWatch r="K5"/>
    <cellWatch r="J23"/>
    <cellWatch r="P11"/>
    <cellWatch r="P14"/>
    <cellWatch r="J21"/>
    <cellWatch r="J31"/>
    <cellWatch r="J30"/>
    <cellWatch r="J20"/>
    <cellWatch r="L2"/>
    <cellWatch r="U46"/>
    <cellWatch r="M6"/>
    <cellWatch r="M9"/>
    <cellWatch r="J26"/>
    <cellWatch r="J34"/>
    <cellWatch r="U47"/>
    <cellWatch r="T16"/>
    <cellWatch r="T47"/>
    <cellWatch r="J28"/>
    <cellWatch r="J27"/>
    <cellWatch r="J36"/>
    <cellWatch r="J35"/>
    <cellWatch r="P16"/>
    <cellWatch r="G27"/>
    <cellWatch r="G26"/>
    <cellWatch r="G28"/>
    <cellWatch r="P19"/>
    <cellWatch r="G35"/>
    <cellWatch r="G34"/>
    <cellWatch r="G42"/>
    <cellWatch r="G41"/>
    <cellWatch r="R23"/>
    <cellWatch r="R49"/>
    <cellWatch r="F67"/>
    <cellWatch r="F43"/>
    <cellWatch r="F42"/>
    <cellWatch r="F44"/>
    <cellWatch r="F56"/>
    <cellWatch r="F55"/>
    <cellWatch r="F64"/>
    <cellWatch r="H43"/>
    <cellWatch r="H42"/>
    <cellWatch r="H44"/>
    <cellWatch r="H56"/>
    <cellWatch r="H55"/>
    <cellWatch r="H64"/>
    <cellWatch r="H63"/>
    <cellWatch r="H54"/>
    <cellWatch r="F54"/>
    <cellWatch r="F57"/>
    <cellWatch r="F65"/>
    <cellWatch r="S80"/>
    <cellWatch r="R44"/>
    <cellWatch r="R43"/>
    <cellWatch r="F46"/>
    <cellWatch r="F45"/>
    <cellWatch r="F59"/>
    <cellWatch r="F58"/>
    <cellWatch r="F102"/>
    <cellWatch r="F62"/>
    <cellWatch r="R80"/>
    <cellWatch r="F53"/>
    <cellWatch r="F61"/>
    <cellWatch r="H53"/>
    <cellWatch r="H62"/>
    <cellWatch r="H61"/>
    <cellWatch r="H52"/>
    <cellWatch r="F103"/>
    <cellWatch r="F52"/>
    <cellWatch r="F60"/>
    <cellWatch r="H45"/>
    <cellWatch r="H58"/>
    <cellWatch r="H57"/>
    <cellWatch r="S74"/>
    <cellWatch r="F96"/>
    <cellWatch r="R74"/>
    <cellWatch r="N42"/>
    <cellWatch r="N45"/>
    <cellWatch r="E43"/>
    <cellWatch r="E42"/>
    <cellWatch r="E44"/>
    <cellWatch r="E47"/>
    <cellWatch r="E56"/>
    <cellWatch r="E55"/>
    <cellWatch r="E64"/>
    <cellWatch r="E63"/>
    <cellWatch r="G43"/>
    <cellWatch r="G44"/>
    <cellWatch r="G56"/>
    <cellWatch r="G55"/>
    <cellWatch r="G64"/>
    <cellWatch r="G63"/>
    <cellWatch r="G54"/>
    <cellWatch r="E54"/>
    <cellWatch r="E57"/>
    <cellWatch r="E65"/>
    <cellWatch r="Q44"/>
    <cellWatch r="Q43"/>
    <cellWatch r="E46"/>
    <cellWatch r="E45"/>
    <cellWatch r="E59"/>
    <cellWatch r="E58"/>
    <cellWatch r="E102"/>
    <cellWatch r="Q42"/>
    <cellWatch r="E62"/>
    <cellWatch r="Q80"/>
    <cellWatch r="E53"/>
    <cellWatch r="E61"/>
    <cellWatch r="G53"/>
    <cellWatch r="G62"/>
    <cellWatch r="G61"/>
    <cellWatch r="G52"/>
    <cellWatch r="M13"/>
    <cellWatch r="E103"/>
    <cellWatch r="F66"/>
    <cellWatch r="H65"/>
    <cellWatch r="S81"/>
    <cellWatch r="R45"/>
    <cellWatch r="R81"/>
    <cellWatch r="F104"/>
    <cellWatch r="F150"/>
    <cellWatch r="F151"/>
    <cellWatch r="F158"/>
    <cellWatch r="F157"/>
    <cellWatch r="F159"/>
    <cellWatch r="F149"/>
    <cellWatch r="J149"/>
    <cellWatch r="F154"/>
    <cellWatch r="F153"/>
    <cellWatch r="F152"/>
    <cellWatch r="F166"/>
    <cellWatch r="F165"/>
    <cellWatch r="F174"/>
    <cellWatch r="F173"/>
    <cellWatch r="N151"/>
    <cellWatch r="N154"/>
    <cellWatch r="F155"/>
    <cellWatch r="F162"/>
    <cellWatch r="F161"/>
    <cellWatch r="F170"/>
    <cellWatch r="F169"/>
    <cellWatch r="J150"/>
    <cellWatch r="F156"/>
    <cellWatch r="F164"/>
    <cellWatch r="F172"/>
    <cellWatch r="F167"/>
    <cellWatch r="F175"/>
    <cellWatch r="F163"/>
    <cellWatch r="F171"/>
    <cellWatch r="H150"/>
    <cellWatch r="H153"/>
    <cellWatch r="H158"/>
    <cellWatch r="H157"/>
    <cellWatch r="L149"/>
    <cellWatch r="H156"/>
    <cellWatch r="H155"/>
    <cellWatch r="H154"/>
    <cellWatch r="H164"/>
    <cellWatch r="H163"/>
    <cellWatch r="H172"/>
    <cellWatch r="H171"/>
    <cellWatch r="H162"/>
    <cellWatch r="N43"/>
    <cellWatch r="N46"/>
    <cellWatch r="R79"/>
    <cellWatch r="F101"/>
    <cellWatch r="S79"/>
    <cellWatch r="H46"/>
    <cellWatch r="H59"/>
    <cellWatch r="H67"/>
    <cellWatch r="H66"/>
    <cellWatch r="N44"/>
    <cellWatch r="R88"/>
    <cellWatch r="F109"/>
    <cellWatch r="F110"/>
    <cellWatch r="S88"/>
    <cellWatch r="S89"/>
    <cellWatch r="R89"/>
    <cellWatch r="R54"/>
    <cellWatch r="R82"/>
    <cellWatch r="D42"/>
    <cellWatch r="D43"/>
    <cellWatch r="H9"/>
    <cellWatch r="D47"/>
    <cellWatch r="D12"/>
    <cellWatch r="D55"/>
    <cellWatch r="D54"/>
    <cellWatch r="D62"/>
    <cellWatch r="D61"/>
    <cellWatch r="G8"/>
    <cellWatch r="G7"/>
    <cellWatch r="G6"/>
    <cellWatch r="G5"/>
    <cellWatch r="D53"/>
    <cellWatch r="D56"/>
    <cellWatch r="D63"/>
    <cellWatch r="Q76"/>
    <cellWatch r="P43"/>
    <cellWatch r="P42"/>
    <cellWatch r="P13"/>
    <cellWatch r="P12"/>
    <cellWatch r="D45"/>
    <cellWatch r="D44"/>
    <cellWatch r="D58"/>
    <cellWatch r="D57"/>
    <cellWatch r="D5"/>
    <cellWatch r="E98"/>
    <cellWatch r="P76"/>
    <cellWatch r="D52"/>
    <cellWatch r="D60"/>
    <cellWatch r="L11"/>
    <cellWatch r="L13"/>
    <cellWatch r="E99"/>
    <cellWatch r="D14"/>
    <cellWatch r="H2"/>
    <cellWatch r="D13"/>
    <cellWatch r="E4"/>
    <cellWatch r="E3"/>
    <cellWatch r="D46"/>
    <cellWatch r="D59"/>
    <cellWatch r="Q71"/>
    <cellWatch r="D92"/>
    <cellWatch r="P71"/>
    <cellWatch r="L12"/>
    <cellWatch r="D64"/>
    <cellWatch r="G11"/>
    <cellWatch r="G9"/>
    <cellWatch r="Q77"/>
    <cellWatch r="P44"/>
    <cellWatch r="P77"/>
    <cellWatch r="E100"/>
    <cellWatch r="D10"/>
    <cellWatch r="D11"/>
    <cellWatch r="C42"/>
    <cellWatch r="C43"/>
    <cellWatch r="D9"/>
    <cellWatch r="C47"/>
    <cellWatch r="C12"/>
    <cellWatch r="D8"/>
    <cellWatch r="D7"/>
    <cellWatch r="C55"/>
    <cellWatch r="C54"/>
    <cellWatch r="C62"/>
    <cellWatch r="C61"/>
    <cellWatch r="D6"/>
    <cellWatch r="C53"/>
    <cellWatch r="C56"/>
    <cellWatch r="C63"/>
    <cellWatch r="O43"/>
    <cellWatch r="O42"/>
    <cellWatch r="O13"/>
    <cellWatch r="O12"/>
    <cellWatch r="C45"/>
    <cellWatch r="C44"/>
    <cellWatch r="C58"/>
    <cellWatch r="C57"/>
    <cellWatch r="C5"/>
    <cellWatch r="D98"/>
    <cellWatch r="O76"/>
    <cellWatch r="C14"/>
    <cellWatch r="C52"/>
    <cellWatch r="C60"/>
    <cellWatch r="E52"/>
    <cellWatch r="E60"/>
    <cellWatch r="K11"/>
    <cellWatch r="D99"/>
    <cellWatch r="L42"/>
    <cellWatch r="L44"/>
    <cellWatch r="E146"/>
    <cellWatch r="E147"/>
    <cellWatch r="E154"/>
    <cellWatch r="E153"/>
    <cellWatch r="E155"/>
    <cellWatch r="E145"/>
    <cellWatch r="H145"/>
    <cellWatch r="E150"/>
    <cellWatch r="E149"/>
    <cellWatch r="E148"/>
    <cellWatch r="E162"/>
    <cellWatch r="E161"/>
    <cellWatch r="E170"/>
    <cellWatch r="E169"/>
    <cellWatch r="L147"/>
    <cellWatch r="L150"/>
    <cellWatch r="E151"/>
    <cellWatch r="E158"/>
    <cellWatch r="E157"/>
    <cellWatch r="E166"/>
    <cellWatch r="E165"/>
    <cellWatch r="H146"/>
    <cellWatch r="E152"/>
    <cellWatch r="E160"/>
    <cellWatch r="E168"/>
    <cellWatch r="E163"/>
    <cellWatch r="E171"/>
    <cellWatch r="E159"/>
    <cellWatch r="E167"/>
    <cellWatch r="G146"/>
    <cellWatch r="G149"/>
    <cellWatch r="G154"/>
    <cellWatch r="G153"/>
    <cellWatch r="J145"/>
    <cellWatch r="G152"/>
    <cellWatch r="G151"/>
    <cellWatch r="G150"/>
    <cellWatch r="G160"/>
    <cellWatch r="G159"/>
    <cellWatch r="G168"/>
    <cellWatch r="G167"/>
    <cellWatch r="G158"/>
    <cellWatch r="L45"/>
    <cellWatch r="D66"/>
    <cellWatch r="D67"/>
    <cellWatch r="G45"/>
    <cellWatch r="G46"/>
    <cellWatch r="G58"/>
    <cellWatch r="G57"/>
    <cellWatch r="G59"/>
    <cellWatch r="G66"/>
    <cellWatch r="G65"/>
    <cellWatch r="G74"/>
    <cellWatch r="G73"/>
    <cellWatch r="T79"/>
    <cellWatch r="T44"/>
    <cellWatch r="T43"/>
    <cellWatch r="T42"/>
    <cellWatch r="J43"/>
    <cellWatch r="J42"/>
    <cellWatch r="J44"/>
    <cellWatch r="J56"/>
    <cellWatch r="J55"/>
    <cellWatch r="J64"/>
    <cellWatch r="J63"/>
    <cellWatch r="J54"/>
    <cellWatch r="J53"/>
    <cellWatch r="J62"/>
    <cellWatch r="J61"/>
    <cellWatch r="J52"/>
    <cellWatch r="U79"/>
    <cellWatch r="J45"/>
    <cellWatch r="J57"/>
    <cellWatch r="J65"/>
    <cellWatch r="U80"/>
    <cellWatch r="T45"/>
    <cellWatch r="T80"/>
    <cellWatch r="J46"/>
    <cellWatch r="J59"/>
    <cellWatch r="J58"/>
    <cellWatch r="J67"/>
    <cellWatch r="J66"/>
    <cellWatch r="F17"/>
    <cellWatch r="F22"/>
    <cellWatch r="R17"/>
    <cellWatch r="H17"/>
    <cellWatch r="H22"/>
    <cellWatch r="H29"/>
    <cellWatch r="E17"/>
    <cellWatch r="E22"/>
    <cellWatch r="E29"/>
    <cellWatch r="G17"/>
    <cellWatch r="G22"/>
    <cellWatch r="G29"/>
    <cellWatch r="E20"/>
    <cellWatch r="E66"/>
    <cellWatch r="Q17"/>
    <cellWatch r="E67"/>
    <cellWatch r="N17"/>
    <cellWatch r="S44"/>
    <cellWatch r="S40"/>
    <cellWatch r="R40"/>
    <cellWatch r="S43"/>
    <cellWatch r="S45"/>
    <cellWatch r="F114"/>
    <cellWatch r="F115"/>
    <cellWatch r="F113"/>
    <cellWatch r="J113"/>
    <cellWatch r="N115"/>
    <cellWatch r="J114"/>
    <cellWatch r="F127"/>
    <cellWatch r="F135"/>
    <cellWatch r="H114"/>
    <cellWatch r="L113"/>
    <cellWatch r="H119"/>
    <cellWatch r="H118"/>
    <cellWatch r="H128"/>
    <cellWatch r="H127"/>
    <cellWatch r="H136"/>
    <cellWatch r="H135"/>
    <cellWatch r="H126"/>
    <cellWatch r="R52"/>
    <cellWatch r="F73"/>
    <cellWatch r="F74"/>
    <cellWatch r="S52"/>
    <cellWatch r="S53"/>
    <cellWatch r="R53"/>
    <cellWatch r="T17"/>
    <cellWatch r="J17"/>
    <cellWatch r="J22"/>
    <cellWatch r="J29"/>
    <cellWatch r="U43"/>
    <cellWatch r="U44"/>
    <cellWatch r="R20"/>
    <cellWatch r="Q45"/>
    <cellWatch r="E68"/>
    <cellWatch r="S41"/>
    <cellWatch r="R41"/>
    <cellWatch r="N116"/>
    <cellWatch r="N119"/>
    <cellWatch r="J115"/>
    <cellWatch r="H115"/>
    <cellWatch r="L114"/>
    <cellWatch r="H137"/>
    <cellWatch r="F75"/>
    <cellWatch r="S54"/>
    <cellWatch r="U45"/>
    <cellWatch r="R10"/>
    <cellWatch r="R7"/>
    <cellWatch r="R6"/>
    <cellWatch r="R5"/>
    <cellWatch r="R9"/>
    <cellWatch r="Q12"/>
    <cellWatch r="Q10"/>
    <cellWatch r="Q7"/>
    <cellWatch r="Q6"/>
    <cellWatch r="Q5"/>
    <cellWatch r="Q9"/>
    <cellWatch r="R4"/>
    <cellWatch r="R8"/>
    <cellWatch r="S18"/>
    <cellWatch r="S15"/>
    <cellWatch r="S14"/>
    <cellWatch r="S13"/>
    <cellWatch r="S17"/>
    <cellWatch r="P3"/>
    <cellWatch r="P6"/>
    <cellWatch r="S19"/>
    <cellWatch r="S16"/>
    <cellWatch r="R11"/>
    <cellWatch r="Q11"/>
    <cellWatch r="Q46"/>
    <cellWatch r="N117"/>
    <cellWatch r="N120"/>
    <cellWatch r="H116"/>
    <cellWatch r="L115"/>
    <cellWatch r="D17"/>
    <cellWatch r="D16"/>
    <cellWatch r="D18"/>
    <cellWatch r="D21"/>
    <cellWatch r="D20"/>
    <cellWatch r="D28"/>
    <cellWatch r="D27"/>
    <cellWatch r="D19"/>
    <cellWatch r="D22"/>
    <cellWatch r="D29"/>
    <cellWatch r="P10"/>
    <cellWatch r="P9"/>
    <cellWatch r="P5"/>
    <cellWatch r="P4"/>
    <cellWatch r="D24"/>
    <cellWatch r="D23"/>
    <cellWatch r="P8"/>
    <cellWatch r="D26"/>
    <cellWatch r="D15"/>
    <cellWatch r="D25"/>
    <cellWatch r="Q37"/>
    <cellWatch r="P7"/>
    <cellWatch r="P37"/>
    <cellWatch r="D30"/>
    <cellWatch r="L14"/>
    <cellWatch r="C17"/>
    <cellWatch r="C16"/>
    <cellWatch r="C18"/>
    <cellWatch r="C13"/>
    <cellWatch r="C21"/>
    <cellWatch r="C20"/>
    <cellWatch r="C28"/>
    <cellWatch r="C27"/>
    <cellWatch r="E15"/>
    <cellWatch r="C19"/>
    <cellWatch r="C22"/>
    <cellWatch r="C29"/>
    <cellWatch r="O10"/>
    <cellWatch r="O9"/>
    <cellWatch r="O6"/>
    <cellWatch r="O5"/>
    <cellWatch r="O4"/>
    <cellWatch r="C24"/>
    <cellWatch r="C23"/>
    <cellWatch r="O8"/>
    <cellWatch r="C15"/>
    <cellWatch r="C26"/>
    <cellWatch r="D65"/>
    <cellWatch r="L16"/>
    <cellWatch r="L18"/>
    <cellWatch r="E112"/>
    <cellWatch r="E113"/>
    <cellWatch r="E120"/>
    <cellWatch r="E119"/>
    <cellWatch r="E121"/>
    <cellWatch r="E111"/>
    <cellWatch r="H111"/>
    <cellWatch r="E116"/>
    <cellWatch r="E115"/>
    <cellWatch r="E114"/>
    <cellWatch r="E128"/>
    <cellWatch r="E127"/>
    <cellWatch r="E136"/>
    <cellWatch r="E135"/>
    <cellWatch r="E117"/>
    <cellWatch r="E124"/>
    <cellWatch r="E123"/>
    <cellWatch r="E132"/>
    <cellWatch r="E131"/>
    <cellWatch r="H112"/>
    <cellWatch r="E118"/>
    <cellWatch r="E126"/>
    <cellWatch r="E134"/>
    <cellWatch r="E129"/>
    <cellWatch r="E137"/>
    <cellWatch r="E125"/>
    <cellWatch r="E133"/>
    <cellWatch r="G112"/>
    <cellWatch r="G115"/>
    <cellWatch r="G120"/>
    <cellWatch r="G119"/>
    <cellWatch r="J111"/>
    <cellWatch r="G118"/>
    <cellWatch r="G117"/>
    <cellWatch r="G116"/>
    <cellWatch r="G126"/>
    <cellWatch r="G125"/>
    <cellWatch r="G134"/>
    <cellWatch r="G133"/>
    <cellWatch r="G124"/>
    <cellWatch r="L17"/>
    <cellWatch r="D32"/>
    <cellWatch r="D33"/>
    <cellWatch r="Q41"/>
    <cellWatch r="P18"/>
    <cellWatch r="P17"/>
    <cellWatch r="P41"/>
    <cellWatch r="P15"/>
    <cellWatch r="O18"/>
    <cellWatch r="O17"/>
    <cellWatch r="O14"/>
    <cellWatch r="O16"/>
    <cellWatch r="O41"/>
    <cellWatch r="E110"/>
    <cellWatch r="E109"/>
    <cellWatch r="H109"/>
    <cellWatch r="L111"/>
    <cellWatch r="E122"/>
    <cellWatch r="E130"/>
    <cellWatch r="H110"/>
    <cellWatch r="G110"/>
    <cellWatch r="G113"/>
    <cellWatch r="J109"/>
    <cellWatch r="G114"/>
    <cellWatch r="G123"/>
    <cellWatch r="G132"/>
    <cellWatch r="G131"/>
    <cellWatch r="G122"/>
    <cellWatch r="G40"/>
    <cellWatch r="G39"/>
    <cellWatch r="M7"/>
    <cellWatch r="O11"/>
    <cellWatch r="T40"/>
    <cellWatch r="S12"/>
    <cellWatch r="M8"/>
    <cellWatch r="M10"/>
    <cellWatch r="O15"/>
    <cellWatch r="O115"/>
    <cellWatch r="O118"/>
    <cellWatch r="M113"/>
    <cellWatch r="O19"/>
    <cellWatch r="T52"/>
    <cellWatch r="T53"/>
    <cellWatch r="U18"/>
    <cellWatch r="U15"/>
    <cellWatch r="U14"/>
    <cellWatch r="U13"/>
    <cellWatch r="M5"/>
    <cellWatch r="U17"/>
    <cellWatch r="O7"/>
    <cellWatch r="M2"/>
    <cellWatch r="V43"/>
    <cellWatch r="V44"/>
    <cellWatch r="U16"/>
    <cellWatch r="S20"/>
    <cellWatch r="J3"/>
    <cellWatch r="Q16"/>
    <cellWatch r="M16"/>
    <cellWatch r="R22"/>
    <cellWatch r="D31"/>
    <cellWatch r="H3"/>
    <cellWatch r="Q39"/>
    <cellWatch r="P39"/>
    <cellWatch r="C30"/>
    <cellWatch r="C31"/>
    <cellWatch r="C25"/>
    <cellWatch r="L19"/>
    <cellWatch r="D34"/>
    <cellWatch r="D35"/>
    <cellWatch r="L3"/>
    <cellWatch r="T41"/>
    <cellWatch r="O117"/>
    <cellWatch r="O120"/>
    <cellWatch r="M115"/>
    <cellWatch r="T54"/>
    <cellWatch r="T55"/>
    <cellWatch r="U19"/>
    <cellWatch r="M3"/>
    <cellWatch r="V45"/>
    <cellWatch r="V46"/>
    <cellWatch r="S22"/>
    <cellWatch r="G3"/>
    <cellWatch r="D4"/>
    <cellWatch r="G4"/>
    <cellWatch r="D3"/>
    <cellWatch r="H4"/>
    <cellWatch r="G2"/>
    <cellWatch r="N10"/>
    <cellWatch r="C4"/>
    <cellWatch r="C7"/>
    <cellWatch r="C8"/>
    <cellWatch r="C9"/>
    <cellWatch r="C6"/>
    <cellWatch r="C11"/>
    <cellWatch r="C3"/>
    <cellWatch r="C10"/>
    <cellWatch r="D41"/>
    <cellWatch r="D40"/>
    <cellWatch r="I41"/>
    <cellWatch r="I43"/>
    <cellWatch r="D49"/>
    <cellWatch r="D48"/>
    <cellWatch r="D51"/>
    <cellWatch r="D50"/>
    <cellWatch r="F41"/>
    <cellWatch r="H40"/>
    <cellWatch r="F51"/>
    <cellWatch r="F50"/>
    <cellWatch r="F49"/>
    <cellWatch r="I4"/>
    <cellWatch r="G12"/>
    <cellWatch r="I3"/>
    <cellWatch r="F2"/>
    <cellWatch r="C39"/>
    <cellWatch r="C38"/>
    <cellWatch r="F38"/>
    <cellWatch r="C41"/>
    <cellWatch r="C40"/>
    <cellWatch r="C49"/>
    <cellWatch r="C48"/>
    <cellWatch r="H39"/>
    <cellWatch r="H41"/>
    <cellWatch r="F39"/>
    <cellWatch r="C50"/>
    <cellWatch r="C46"/>
    <cellWatch r="E39"/>
    <cellWatch r="E40"/>
    <cellWatch r="G38"/>
    <cellWatch r="E41"/>
  </cellWatch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A0CE3-FFBE-534E-BB2B-559F3ADEC040}">
  <sheetPr codeName="Sheet8">
    <tabColor theme="4"/>
  </sheetPr>
  <dimension ref="B1:Q51"/>
  <sheetViews>
    <sheetView workbookViewId="0"/>
  </sheetViews>
  <sheetFormatPr defaultColWidth="11" defaultRowHeight="15.75"/>
  <cols>
    <col min="1" max="1" width="2.5" customWidth="1"/>
    <col min="2" max="2" width="20.875" customWidth="1"/>
    <col min="5" max="6" width="12.5" customWidth="1"/>
    <col min="8" max="10" width="12.5" customWidth="1"/>
    <col min="11" max="11" width="16.625" customWidth="1"/>
    <col min="14" max="14" width="11.625" customWidth="1"/>
    <col min="15" max="15" width="16.625" customWidth="1"/>
    <col min="17" max="17" width="11.625" customWidth="1"/>
  </cols>
  <sheetData>
    <row r="1" spans="2:17" ht="27" thickBot="1">
      <c r="B1" s="94" t="str">
        <f>'Inputs &amp; Assumptions'!D4&amp;" – Rent &amp; Sales Comparables"</f>
        <v>Madison Overland Park – Rent &amp; Sales Comparables</v>
      </c>
      <c r="C1" s="130"/>
      <c r="D1" s="130"/>
      <c r="E1" s="130"/>
      <c r="F1" s="95"/>
      <c r="G1" s="95"/>
      <c r="H1" s="95"/>
      <c r="I1" s="95"/>
      <c r="J1" s="95"/>
      <c r="K1" s="95"/>
      <c r="L1" s="95"/>
      <c r="M1" s="95"/>
      <c r="N1" s="95"/>
      <c r="O1" s="95"/>
      <c r="P1" s="95"/>
      <c r="Q1" s="95"/>
    </row>
    <row r="2" spans="2:17" ht="16.5" thickBot="1"/>
    <row r="3" spans="2:17" ht="26.25">
      <c r="B3" s="1296" t="s">
        <v>798</v>
      </c>
      <c r="C3" s="1297"/>
      <c r="D3" s="1297"/>
      <c r="E3" s="1297"/>
      <c r="F3" s="1297"/>
      <c r="G3" s="1297"/>
      <c r="H3" s="1297"/>
      <c r="I3" s="1298"/>
      <c r="K3" s="154" t="s">
        <v>799</v>
      </c>
      <c r="L3" s="1294" t="s">
        <v>251</v>
      </c>
      <c r="M3" s="1294"/>
      <c r="N3" s="1294"/>
      <c r="O3" s="1294"/>
      <c r="P3" s="1294"/>
      <c r="Q3" s="1295"/>
    </row>
    <row r="4" spans="2:17" ht="21">
      <c r="B4" s="1299" t="s">
        <v>800</v>
      </c>
      <c r="C4" s="1300"/>
      <c r="D4" s="1300"/>
      <c r="E4" s="1300"/>
      <c r="F4" s="1300"/>
      <c r="G4" s="1300"/>
      <c r="H4" s="1300"/>
      <c r="I4" s="1301"/>
      <c r="K4" s="145" t="s">
        <v>801</v>
      </c>
      <c r="L4" s="70"/>
      <c r="M4" s="70"/>
      <c r="N4" s="70"/>
      <c r="O4" s="70"/>
      <c r="P4" s="70"/>
      <c r="Q4" s="146"/>
    </row>
    <row r="5" spans="2:17" ht="18.75">
      <c r="B5" s="69" t="s">
        <v>6</v>
      </c>
      <c r="C5" s="70" t="s">
        <v>598</v>
      </c>
      <c r="D5" s="70" t="s">
        <v>410</v>
      </c>
      <c r="E5" s="70" t="s">
        <v>802</v>
      </c>
      <c r="F5" s="70" t="s">
        <v>803</v>
      </c>
      <c r="G5" s="70" t="s">
        <v>804</v>
      </c>
      <c r="H5" s="70" t="s">
        <v>805</v>
      </c>
      <c r="I5" s="71" t="s">
        <v>806</v>
      </c>
      <c r="K5" s="145" t="s">
        <v>807</v>
      </c>
      <c r="L5" s="4"/>
      <c r="M5" s="4"/>
      <c r="N5" s="10"/>
      <c r="O5" s="84"/>
      <c r="P5" s="77"/>
      <c r="Q5" s="152"/>
    </row>
    <row r="6" spans="2:17">
      <c r="B6" s="75" t="s">
        <v>801</v>
      </c>
      <c r="C6" s="4"/>
      <c r="D6" s="4"/>
      <c r="E6" s="76"/>
      <c r="F6" s="82"/>
      <c r="G6" s="10"/>
      <c r="H6" s="3"/>
      <c r="I6" s="80" t="str">
        <f>IFERROR(H6/G6,"")</f>
        <v/>
      </c>
      <c r="K6" s="145" t="s">
        <v>808</v>
      </c>
      <c r="L6" s="4"/>
      <c r="M6" s="4"/>
      <c r="N6" s="10"/>
      <c r="O6" s="84"/>
      <c r="P6" s="77"/>
      <c r="Q6" s="152"/>
    </row>
    <row r="7" spans="2:17">
      <c r="B7" s="75" t="s">
        <v>807</v>
      </c>
      <c r="C7" s="4"/>
      <c r="D7" s="4"/>
      <c r="E7" s="76"/>
      <c r="F7" s="82"/>
      <c r="G7" s="10"/>
      <c r="H7" s="3"/>
      <c r="I7" s="80" t="str">
        <f t="shared" ref="I7:I12" si="0">IFERROR(H7/G7,"")</f>
        <v/>
      </c>
      <c r="K7" s="145" t="s">
        <v>809</v>
      </c>
      <c r="L7" s="4"/>
      <c r="M7" s="4"/>
      <c r="N7" s="10"/>
      <c r="O7" s="84"/>
      <c r="P7" s="77"/>
      <c r="Q7" s="152"/>
    </row>
    <row r="8" spans="2:17">
      <c r="B8" s="75" t="s">
        <v>808</v>
      </c>
      <c r="C8" s="4"/>
      <c r="D8" s="4"/>
      <c r="E8" s="76"/>
      <c r="F8" s="82"/>
      <c r="G8" s="10"/>
      <c r="H8" s="3"/>
      <c r="I8" s="80" t="str">
        <f t="shared" si="0"/>
        <v/>
      </c>
      <c r="K8" s="145" t="s">
        <v>810</v>
      </c>
      <c r="L8" s="4"/>
      <c r="M8" s="4"/>
      <c r="N8" s="10"/>
      <c r="O8" s="84"/>
      <c r="P8" s="77"/>
      <c r="Q8" s="152"/>
    </row>
    <row r="9" spans="2:17">
      <c r="B9" s="75" t="s">
        <v>809</v>
      </c>
      <c r="C9" s="4"/>
      <c r="D9" s="4"/>
      <c r="E9" s="76"/>
      <c r="F9" s="82"/>
      <c r="G9" s="10"/>
      <c r="H9" s="3"/>
      <c r="I9" s="80" t="str">
        <f t="shared" si="0"/>
        <v/>
      </c>
      <c r="K9" s="145" t="s">
        <v>811</v>
      </c>
      <c r="L9" s="4"/>
      <c r="M9" s="4"/>
      <c r="N9" s="10"/>
      <c r="O9" s="84"/>
      <c r="P9" s="77"/>
      <c r="Q9" s="152"/>
    </row>
    <row r="10" spans="2:17">
      <c r="B10" s="75" t="s">
        <v>810</v>
      </c>
      <c r="C10" s="4"/>
      <c r="D10" s="4"/>
      <c r="E10" s="76"/>
      <c r="F10" s="82"/>
      <c r="G10" s="10"/>
      <c r="H10" s="3"/>
      <c r="I10" s="80" t="str">
        <f t="shared" si="0"/>
        <v/>
      </c>
      <c r="K10" s="147" t="s">
        <v>812</v>
      </c>
      <c r="L10" s="148"/>
      <c r="M10" s="148"/>
      <c r="N10" s="149"/>
      <c r="O10" s="150"/>
      <c r="P10" s="151"/>
      <c r="Q10" s="153"/>
    </row>
    <row r="11" spans="2:17">
      <c r="B11" s="75" t="s">
        <v>811</v>
      </c>
      <c r="C11" s="4"/>
      <c r="D11" s="4"/>
      <c r="E11" s="76"/>
      <c r="F11" s="82"/>
      <c r="G11" s="10"/>
      <c r="H11" s="3"/>
      <c r="I11" s="80" t="str">
        <f t="shared" si="0"/>
        <v/>
      </c>
      <c r="K11" s="9"/>
      <c r="L11" s="85"/>
      <c r="M11" s="85"/>
      <c r="N11" s="86"/>
      <c r="O11" s="87"/>
      <c r="P11" s="88"/>
      <c r="Q11" s="89"/>
    </row>
    <row r="12" spans="2:17">
      <c r="B12" s="75" t="s">
        <v>812</v>
      </c>
      <c r="C12" s="4"/>
      <c r="D12" s="4"/>
      <c r="E12" s="76"/>
      <c r="F12" s="82"/>
      <c r="G12" s="10"/>
      <c r="H12" s="3"/>
      <c r="I12" s="80" t="str">
        <f t="shared" si="0"/>
        <v/>
      </c>
      <c r="K12" s="4"/>
      <c r="L12" s="4"/>
      <c r="M12" s="4"/>
      <c r="N12" s="10"/>
      <c r="O12" s="84"/>
      <c r="P12" s="77"/>
      <c r="Q12" s="3"/>
    </row>
    <row r="13" spans="2:17">
      <c r="B13" s="72" t="s">
        <v>813</v>
      </c>
      <c r="C13" s="73" t="e">
        <f t="shared" ref="C13:I13" si="1">AVERAGE(C6:C12)</f>
        <v>#DIV/0!</v>
      </c>
      <c r="D13" s="73" t="e">
        <f t="shared" si="1"/>
        <v>#DIV/0!</v>
      </c>
      <c r="E13" s="66" t="e">
        <f t="shared" si="1"/>
        <v>#DIV/0!</v>
      </c>
      <c r="F13" s="83" t="e">
        <f t="shared" si="1"/>
        <v>#DIV/0!</v>
      </c>
      <c r="G13" s="67" t="e">
        <f t="shared" si="1"/>
        <v>#DIV/0!</v>
      </c>
      <c r="H13" s="68" t="e">
        <f t="shared" si="1"/>
        <v>#DIV/0!</v>
      </c>
      <c r="I13" s="81" t="e">
        <f t="shared" si="1"/>
        <v>#DIV/0!</v>
      </c>
      <c r="K13" s="11"/>
      <c r="L13" s="11"/>
      <c r="M13" s="11"/>
      <c r="N13" s="11"/>
      <c r="O13" s="11"/>
      <c r="P13" s="11"/>
      <c r="Q13" s="11"/>
    </row>
    <row r="14" spans="2:17">
      <c r="B14" s="139" t="s">
        <v>814</v>
      </c>
      <c r="C14" s="140"/>
      <c r="D14" s="140"/>
      <c r="E14" s="141"/>
      <c r="F14" s="233">
        <v>0</v>
      </c>
      <c r="G14" s="142"/>
      <c r="H14" s="143"/>
      <c r="I14" s="144" t="str">
        <f>IFERROR(H14/G14,"")</f>
        <v/>
      </c>
      <c r="K14" s="11"/>
      <c r="L14" s="11"/>
      <c r="M14" s="11"/>
      <c r="N14" s="11"/>
      <c r="O14" s="11"/>
      <c r="P14" s="11"/>
      <c r="Q14" s="11"/>
    </row>
    <row r="15" spans="2:17" ht="21">
      <c r="B15" s="139" t="s">
        <v>814</v>
      </c>
      <c r="C15" s="140"/>
      <c r="D15" s="140"/>
      <c r="E15" s="141"/>
      <c r="F15" s="233">
        <v>0</v>
      </c>
      <c r="G15" s="142"/>
      <c r="H15" s="143"/>
      <c r="I15" s="144" t="str">
        <f>IFERROR(H15/G15,"")</f>
        <v/>
      </c>
      <c r="K15" s="90"/>
      <c r="L15" s="90"/>
      <c r="M15" s="90"/>
      <c r="N15" s="90"/>
      <c r="O15" s="90"/>
      <c r="P15" s="90"/>
      <c r="Q15" s="90"/>
    </row>
    <row r="16" spans="2:17" ht="21">
      <c r="B16" s="1299" t="s">
        <v>815</v>
      </c>
      <c r="C16" s="1300"/>
      <c r="D16" s="1300"/>
      <c r="E16" s="1300"/>
      <c r="F16" s="1300"/>
      <c r="G16" s="1300"/>
      <c r="H16" s="1300"/>
      <c r="I16" s="1301"/>
      <c r="K16" s="11"/>
      <c r="L16" s="11"/>
      <c r="M16" s="11"/>
      <c r="N16" s="11"/>
      <c r="O16" s="11"/>
      <c r="P16" s="11"/>
      <c r="Q16" s="11"/>
    </row>
    <row r="17" spans="2:17" ht="18.75">
      <c r="B17" s="69" t="s">
        <v>6</v>
      </c>
      <c r="C17" s="70" t="s">
        <v>598</v>
      </c>
      <c r="D17" s="70" t="s">
        <v>410</v>
      </c>
      <c r="E17" s="70" t="s">
        <v>802</v>
      </c>
      <c r="F17" s="70" t="s">
        <v>803</v>
      </c>
      <c r="G17" s="70" t="s">
        <v>804</v>
      </c>
      <c r="H17" s="70" t="s">
        <v>805</v>
      </c>
      <c r="I17" s="71" t="s">
        <v>806</v>
      </c>
      <c r="K17" s="11"/>
      <c r="L17" s="11"/>
      <c r="M17" s="11"/>
      <c r="N17" s="11"/>
      <c r="O17" s="11"/>
      <c r="P17" s="11"/>
      <c r="Q17" s="11"/>
    </row>
    <row r="18" spans="2:17">
      <c r="B18" s="75" t="s">
        <v>801</v>
      </c>
      <c r="C18" s="4"/>
      <c r="D18" s="4"/>
      <c r="E18" s="76"/>
      <c r="F18" s="82"/>
      <c r="G18" s="10"/>
      <c r="H18" s="3"/>
      <c r="I18" s="80" t="str">
        <f>IFERROR(H18/G18,"")</f>
        <v/>
      </c>
      <c r="K18" s="11"/>
      <c r="L18" s="11"/>
      <c r="M18" s="11"/>
      <c r="N18" s="11"/>
      <c r="O18" s="11"/>
      <c r="P18" s="11"/>
      <c r="Q18" s="11"/>
    </row>
    <row r="19" spans="2:17">
      <c r="B19" s="75" t="s">
        <v>807</v>
      </c>
      <c r="C19" s="4"/>
      <c r="D19" s="4"/>
      <c r="E19" s="76"/>
      <c r="F19" s="82"/>
      <c r="G19" s="10"/>
      <c r="H19" s="3"/>
      <c r="I19" s="80" t="str">
        <f>IFERROR(H19/G19,"")</f>
        <v/>
      </c>
      <c r="K19" s="11"/>
      <c r="L19" s="11"/>
      <c r="M19" s="11"/>
      <c r="N19" s="11"/>
      <c r="O19" s="11"/>
      <c r="P19" s="11"/>
      <c r="Q19" s="11"/>
    </row>
    <row r="20" spans="2:17">
      <c r="B20" s="72" t="s">
        <v>813</v>
      </c>
      <c r="C20" s="73" t="e">
        <f>AVERAGE(C18:C19)</f>
        <v>#DIV/0!</v>
      </c>
      <c r="D20" s="65" t="e">
        <f t="shared" ref="D20:I20" si="2">AVERAGE(D18:D19)</f>
        <v>#DIV/0!</v>
      </c>
      <c r="E20" s="66" t="e">
        <f t="shared" si="2"/>
        <v>#DIV/0!</v>
      </c>
      <c r="F20" s="83" t="e">
        <f t="shared" si="2"/>
        <v>#DIV/0!</v>
      </c>
      <c r="G20" s="67" t="e">
        <f t="shared" si="2"/>
        <v>#DIV/0!</v>
      </c>
      <c r="H20" s="68" t="e">
        <f t="shared" si="2"/>
        <v>#DIV/0!</v>
      </c>
      <c r="I20" s="81" t="e">
        <f t="shared" si="2"/>
        <v>#DIV/0!</v>
      </c>
      <c r="K20" s="11"/>
      <c r="L20" s="11"/>
      <c r="M20" s="11"/>
      <c r="N20" s="11"/>
      <c r="O20" s="11"/>
      <c r="P20" s="11"/>
      <c r="Q20" s="11"/>
    </row>
    <row r="21" spans="2:17">
      <c r="B21" s="139" t="s">
        <v>814</v>
      </c>
      <c r="C21" s="140"/>
      <c r="D21" s="140"/>
      <c r="E21" s="141"/>
      <c r="F21" s="233">
        <v>0</v>
      </c>
      <c r="G21" s="142"/>
      <c r="H21" s="143"/>
      <c r="I21" s="144" t="str">
        <f>IFERROR(H21/G21,"")</f>
        <v/>
      </c>
      <c r="K21" s="11"/>
      <c r="L21" s="11"/>
      <c r="M21" s="11"/>
      <c r="N21" s="11"/>
      <c r="O21" s="11"/>
      <c r="P21" s="11"/>
      <c r="Q21" s="11"/>
    </row>
    <row r="22" spans="2:17">
      <c r="B22" s="139" t="s">
        <v>814</v>
      </c>
      <c r="C22" s="140"/>
      <c r="D22" s="140"/>
      <c r="E22" s="141"/>
      <c r="F22" s="233">
        <v>0</v>
      </c>
      <c r="G22" s="142"/>
      <c r="H22" s="143"/>
      <c r="I22" s="144" t="str">
        <f>IFERROR(H22/G22,"")</f>
        <v/>
      </c>
      <c r="K22" s="11"/>
      <c r="L22" s="11"/>
      <c r="M22" s="11"/>
      <c r="N22" s="11"/>
      <c r="O22" s="11"/>
      <c r="P22" s="11"/>
      <c r="Q22" s="11"/>
    </row>
    <row r="23" spans="2:17" ht="21">
      <c r="B23" s="1299" t="s">
        <v>816</v>
      </c>
      <c r="C23" s="1300"/>
      <c r="D23" s="1300"/>
      <c r="E23" s="1300"/>
      <c r="F23" s="1300"/>
      <c r="G23" s="1300"/>
      <c r="H23" s="1300"/>
      <c r="I23" s="1301"/>
      <c r="K23" s="11"/>
      <c r="L23" s="11"/>
      <c r="M23" s="11"/>
      <c r="N23" s="11"/>
      <c r="O23" s="11"/>
      <c r="P23" s="11"/>
      <c r="Q23" s="11"/>
    </row>
    <row r="24" spans="2:17" ht="18.75">
      <c r="B24" s="69" t="s">
        <v>6</v>
      </c>
      <c r="C24" s="70" t="s">
        <v>598</v>
      </c>
      <c r="D24" s="70" t="s">
        <v>410</v>
      </c>
      <c r="E24" s="70" t="s">
        <v>802</v>
      </c>
      <c r="F24" s="70" t="s">
        <v>803</v>
      </c>
      <c r="G24" s="70" t="s">
        <v>804</v>
      </c>
      <c r="H24" s="70" t="s">
        <v>805</v>
      </c>
      <c r="I24" s="71" t="s">
        <v>806</v>
      </c>
      <c r="K24" s="11"/>
      <c r="L24" s="11"/>
      <c r="M24" s="11"/>
      <c r="N24" s="11"/>
      <c r="O24" s="11"/>
      <c r="P24" s="11"/>
      <c r="Q24" s="11"/>
    </row>
    <row r="25" spans="2:17">
      <c r="B25" s="75" t="s">
        <v>801</v>
      </c>
      <c r="C25" s="4"/>
      <c r="D25" s="4"/>
      <c r="E25" s="76"/>
      <c r="F25" s="82"/>
      <c r="G25" s="10"/>
      <c r="H25" s="3"/>
      <c r="I25" s="80" t="str">
        <f>IFERROR(H25/G25,"")</f>
        <v/>
      </c>
    </row>
    <row r="26" spans="2:17">
      <c r="B26" s="75" t="s">
        <v>807</v>
      </c>
      <c r="C26" s="4"/>
      <c r="D26" s="4"/>
      <c r="E26" s="76"/>
      <c r="F26" s="82"/>
      <c r="G26" s="10"/>
      <c r="H26" s="3"/>
      <c r="I26" s="80" t="str">
        <f>IFERROR(H26/G26,"")</f>
        <v/>
      </c>
    </row>
    <row r="27" spans="2:17">
      <c r="B27" s="75" t="s">
        <v>808</v>
      </c>
      <c r="C27" s="4"/>
      <c r="D27" s="4"/>
      <c r="E27" s="76"/>
      <c r="F27" s="82"/>
      <c r="G27" s="10"/>
      <c r="H27" s="3"/>
      <c r="I27" s="80" t="str">
        <f>IFERROR(H27/G27,"")</f>
        <v/>
      </c>
    </row>
    <row r="28" spans="2:17">
      <c r="B28" s="75" t="s">
        <v>809</v>
      </c>
      <c r="C28" s="4"/>
      <c r="D28" s="4"/>
      <c r="E28" s="76"/>
      <c r="F28" s="82"/>
      <c r="G28" s="10"/>
      <c r="H28" s="3"/>
      <c r="I28" s="80" t="str">
        <f>IFERROR(H28/G28,"")</f>
        <v/>
      </c>
    </row>
    <row r="29" spans="2:17">
      <c r="B29" s="75" t="s">
        <v>810</v>
      </c>
      <c r="C29" s="4"/>
      <c r="D29" s="4"/>
      <c r="E29" s="76"/>
      <c r="F29" s="82"/>
      <c r="G29" s="10"/>
      <c r="H29" s="3"/>
      <c r="I29" s="80" t="str">
        <f>IFERROR(H29/G29,"")</f>
        <v/>
      </c>
    </row>
    <row r="30" spans="2:17">
      <c r="B30" s="72" t="s">
        <v>813</v>
      </c>
      <c r="C30" s="73" t="e">
        <f>AVERAGE(C25:C29)</f>
        <v>#DIV/0!</v>
      </c>
      <c r="D30" s="65" t="e">
        <f t="shared" ref="D30:I30" si="3">AVERAGE(D25:D29)</f>
        <v>#DIV/0!</v>
      </c>
      <c r="E30" s="66" t="e">
        <f t="shared" si="3"/>
        <v>#DIV/0!</v>
      </c>
      <c r="F30" s="83" t="e">
        <f t="shared" si="3"/>
        <v>#DIV/0!</v>
      </c>
      <c r="G30" s="67" t="e">
        <f t="shared" si="3"/>
        <v>#DIV/0!</v>
      </c>
      <c r="H30" s="68" t="e">
        <f t="shared" si="3"/>
        <v>#DIV/0!</v>
      </c>
      <c r="I30" s="81" t="e">
        <f t="shared" si="3"/>
        <v>#DIV/0!</v>
      </c>
    </row>
    <row r="31" spans="2:17">
      <c r="B31" s="139" t="s">
        <v>814</v>
      </c>
      <c r="C31" s="140"/>
      <c r="D31" s="140"/>
      <c r="E31" s="141"/>
      <c r="F31" s="233">
        <v>0</v>
      </c>
      <c r="G31" s="142"/>
      <c r="H31" s="143"/>
      <c r="I31" s="144" t="str">
        <f>IFERROR(H31/G31,"")</f>
        <v/>
      </c>
    </row>
    <row r="32" spans="2:17" ht="21">
      <c r="B32" s="1299" t="s">
        <v>817</v>
      </c>
      <c r="C32" s="1300"/>
      <c r="D32" s="1300"/>
      <c r="E32" s="1300"/>
      <c r="F32" s="1300"/>
      <c r="G32" s="1300"/>
      <c r="H32" s="1300"/>
      <c r="I32" s="1301"/>
    </row>
    <row r="33" spans="2:11" ht="18.75">
      <c r="B33" s="69" t="s">
        <v>6</v>
      </c>
      <c r="C33" s="70" t="s">
        <v>598</v>
      </c>
      <c r="D33" s="70" t="s">
        <v>410</v>
      </c>
      <c r="E33" s="70" t="s">
        <v>802</v>
      </c>
      <c r="F33" s="70" t="s">
        <v>803</v>
      </c>
      <c r="G33" s="70" t="s">
        <v>804</v>
      </c>
      <c r="H33" s="70" t="s">
        <v>805</v>
      </c>
      <c r="I33" s="71" t="s">
        <v>806</v>
      </c>
    </row>
    <row r="34" spans="2:11">
      <c r="B34" s="75" t="s">
        <v>801</v>
      </c>
      <c r="C34" s="4"/>
      <c r="D34" s="4"/>
      <c r="E34" s="76"/>
      <c r="F34" s="82"/>
      <c r="G34" s="10"/>
      <c r="H34" s="3"/>
      <c r="I34" s="80" t="str">
        <f>IFERROR(H34/G34,"")</f>
        <v/>
      </c>
    </row>
    <row r="35" spans="2:11">
      <c r="B35" s="75" t="s">
        <v>807</v>
      </c>
      <c r="C35" s="4"/>
      <c r="D35" s="4"/>
      <c r="E35" s="76"/>
      <c r="F35" s="82"/>
      <c r="G35" s="10"/>
      <c r="H35" s="3"/>
      <c r="I35" s="80" t="str">
        <f>IFERROR(H35/G35,"")</f>
        <v/>
      </c>
    </row>
    <row r="36" spans="2:11">
      <c r="B36" s="75" t="s">
        <v>808</v>
      </c>
      <c r="C36" s="4"/>
      <c r="D36" s="4"/>
      <c r="E36" s="76"/>
      <c r="F36" s="82"/>
      <c r="G36" s="10"/>
      <c r="H36" s="3"/>
      <c r="I36" s="80" t="str">
        <f>IFERROR(H36/G36,"")</f>
        <v/>
      </c>
    </row>
    <row r="37" spans="2:11">
      <c r="B37" s="75" t="s">
        <v>809</v>
      </c>
      <c r="C37" s="4"/>
      <c r="D37" s="4"/>
      <c r="E37" s="76"/>
      <c r="F37" s="82"/>
      <c r="G37" s="10"/>
      <c r="H37" s="3"/>
      <c r="I37" s="80" t="str">
        <f>IFERROR(H37/G37,"")</f>
        <v/>
      </c>
    </row>
    <row r="38" spans="2:11">
      <c r="B38" s="72" t="s">
        <v>813</v>
      </c>
      <c r="C38" s="65" t="e">
        <f>AVERAGE(C34:C37)</f>
        <v>#DIV/0!</v>
      </c>
      <c r="D38" s="65" t="e">
        <f t="shared" ref="D38:I38" si="4">AVERAGE(D34:D37)</f>
        <v>#DIV/0!</v>
      </c>
      <c r="E38" s="66" t="e">
        <f t="shared" si="4"/>
        <v>#DIV/0!</v>
      </c>
      <c r="F38" s="83" t="e">
        <f t="shared" si="4"/>
        <v>#DIV/0!</v>
      </c>
      <c r="G38" s="67" t="e">
        <f t="shared" si="4"/>
        <v>#DIV/0!</v>
      </c>
      <c r="H38" s="68" t="e">
        <f t="shared" si="4"/>
        <v>#DIV/0!</v>
      </c>
      <c r="I38" s="81" t="e">
        <f t="shared" si="4"/>
        <v>#DIV/0!</v>
      </c>
    </row>
    <row r="39" spans="2:11" ht="16.5" thickBot="1">
      <c r="B39" s="131" t="s">
        <v>814</v>
      </c>
      <c r="C39" s="132"/>
      <c r="D39" s="132"/>
      <c r="E39" s="137"/>
      <c r="F39" s="232">
        <v>0</v>
      </c>
      <c r="G39" s="133"/>
      <c r="H39" s="134"/>
      <c r="I39" s="138" t="str">
        <f>IFERROR(H39/G39,"")</f>
        <v/>
      </c>
    </row>
    <row r="41" spans="2:11" ht="16.5" thickBot="1"/>
    <row r="42" spans="2:11" ht="26.25">
      <c r="B42" s="1296" t="s">
        <v>818</v>
      </c>
      <c r="C42" s="1297"/>
      <c r="D42" s="1297"/>
      <c r="E42" s="1297"/>
      <c r="F42" s="1297"/>
      <c r="G42" s="1297"/>
      <c r="H42" s="1297"/>
      <c r="I42" s="1297"/>
      <c r="J42" s="1297"/>
      <c r="K42" s="1298"/>
    </row>
    <row r="43" spans="2:11" ht="18.75">
      <c r="B43" s="69" t="s">
        <v>819</v>
      </c>
      <c r="C43" s="70" t="s">
        <v>42</v>
      </c>
      <c r="D43" s="70" t="s">
        <v>410</v>
      </c>
      <c r="E43" s="70" t="s">
        <v>803</v>
      </c>
      <c r="F43" s="70" t="s">
        <v>820</v>
      </c>
      <c r="G43" s="70" t="s">
        <v>821</v>
      </c>
      <c r="H43" s="70" t="s">
        <v>822</v>
      </c>
      <c r="I43" s="70" t="s">
        <v>823</v>
      </c>
      <c r="J43" s="70" t="s">
        <v>824</v>
      </c>
      <c r="K43" s="71" t="s">
        <v>825</v>
      </c>
    </row>
    <row r="44" spans="2:11">
      <c r="B44" s="75" t="s">
        <v>801</v>
      </c>
      <c r="C44" s="4"/>
      <c r="D44" s="4"/>
      <c r="E44" s="82"/>
      <c r="F44" s="10"/>
      <c r="G44" s="10"/>
      <c r="H44" s="77"/>
      <c r="I44" s="3"/>
      <c r="J44" s="12" t="e">
        <f t="shared" ref="J44:J49" si="5">I44/D44</f>
        <v>#DIV/0!</v>
      </c>
      <c r="K44" s="78" t="e">
        <f t="shared" ref="K44:K49" si="6">I44/F44</f>
        <v>#DIV/0!</v>
      </c>
    </row>
    <row r="45" spans="2:11">
      <c r="B45" s="75" t="s">
        <v>807</v>
      </c>
      <c r="C45" s="4"/>
      <c r="D45" s="4"/>
      <c r="E45" s="82"/>
      <c r="F45" s="10"/>
      <c r="G45" s="10"/>
      <c r="H45" s="77"/>
      <c r="I45" s="3"/>
      <c r="J45" s="12" t="e">
        <f t="shared" si="5"/>
        <v>#DIV/0!</v>
      </c>
      <c r="K45" s="78" t="e">
        <f t="shared" si="6"/>
        <v>#DIV/0!</v>
      </c>
    </row>
    <row r="46" spans="2:11">
      <c r="B46" s="75" t="s">
        <v>808</v>
      </c>
      <c r="C46" s="4"/>
      <c r="D46" s="4"/>
      <c r="E46" s="82"/>
      <c r="F46" s="10"/>
      <c r="G46" s="10"/>
      <c r="H46" s="77"/>
      <c r="I46" s="3"/>
      <c r="J46" s="12" t="e">
        <f t="shared" si="5"/>
        <v>#DIV/0!</v>
      </c>
      <c r="K46" s="78" t="e">
        <f t="shared" si="6"/>
        <v>#DIV/0!</v>
      </c>
    </row>
    <row r="47" spans="2:11">
      <c r="B47" s="75" t="s">
        <v>809</v>
      </c>
      <c r="C47" s="4"/>
      <c r="D47" s="4"/>
      <c r="E47" s="82"/>
      <c r="F47" s="10"/>
      <c r="G47" s="10"/>
      <c r="H47" s="77"/>
      <c r="I47" s="3"/>
      <c r="J47" s="12" t="e">
        <f t="shared" si="5"/>
        <v>#DIV/0!</v>
      </c>
      <c r="K47" s="78" t="e">
        <f t="shared" si="6"/>
        <v>#DIV/0!</v>
      </c>
    </row>
    <row r="48" spans="2:11">
      <c r="B48" s="75" t="s">
        <v>810</v>
      </c>
      <c r="C48" s="4"/>
      <c r="D48" s="4"/>
      <c r="E48" s="82"/>
      <c r="F48" s="10"/>
      <c r="G48" s="10"/>
      <c r="H48" s="77"/>
      <c r="I48" s="3"/>
      <c r="J48" s="12" t="e">
        <f t="shared" si="5"/>
        <v>#DIV/0!</v>
      </c>
      <c r="K48" s="78" t="e">
        <f t="shared" si="6"/>
        <v>#DIV/0!</v>
      </c>
    </row>
    <row r="49" spans="2:11">
      <c r="B49" s="75" t="s">
        <v>811</v>
      </c>
      <c r="C49" s="4"/>
      <c r="D49" s="4"/>
      <c r="E49" s="82"/>
      <c r="F49" s="10"/>
      <c r="G49" s="10"/>
      <c r="H49" s="77"/>
      <c r="I49" s="3"/>
      <c r="J49" s="12" t="e">
        <f t="shared" si="5"/>
        <v>#DIV/0!</v>
      </c>
      <c r="K49" s="78" t="e">
        <f t="shared" si="6"/>
        <v>#DIV/0!</v>
      </c>
    </row>
    <row r="50" spans="2:11">
      <c r="B50" s="72" t="s">
        <v>813</v>
      </c>
      <c r="C50" s="73" t="e">
        <f>AVERAGE(C44:C49)</f>
        <v>#DIV/0!</v>
      </c>
      <c r="D50" s="73" t="e">
        <f>AVERAGE(D44:D49)</f>
        <v>#DIV/0!</v>
      </c>
      <c r="E50" s="83" t="e">
        <f t="shared" ref="E50:K50" si="7">AVERAGE(E44:E49)</f>
        <v>#DIV/0!</v>
      </c>
      <c r="F50" s="67" t="e">
        <f t="shared" si="7"/>
        <v>#DIV/0!</v>
      </c>
      <c r="G50" s="67" t="e">
        <f t="shared" si="7"/>
        <v>#DIV/0!</v>
      </c>
      <c r="H50" s="74" t="e">
        <f t="shared" si="7"/>
        <v>#DIV/0!</v>
      </c>
      <c r="I50" s="68" t="e">
        <f t="shared" si="7"/>
        <v>#DIV/0!</v>
      </c>
      <c r="J50" s="68" t="e">
        <f t="shared" si="7"/>
        <v>#DIV/0!</v>
      </c>
      <c r="K50" s="79" t="e">
        <f t="shared" si="7"/>
        <v>#DIV/0!</v>
      </c>
    </row>
    <row r="51" spans="2:11" ht="16.5" thickBot="1">
      <c r="B51" s="131" t="s">
        <v>814</v>
      </c>
      <c r="C51" s="235">
        <f>'Inputs &amp; Assumptions'!D11</f>
        <v>1999</v>
      </c>
      <c r="D51" s="235">
        <f>Unit_Count</f>
        <v>200</v>
      </c>
      <c r="E51" s="232">
        <v>0</v>
      </c>
      <c r="F51" s="236">
        <f>'Cash Flows &amp; Summary'!R16</f>
        <v>284088</v>
      </c>
      <c r="G51" s="236">
        <f>'Cash Flows &amp; Summary'!AB50</f>
        <v>0</v>
      </c>
      <c r="H51" s="234">
        <f ca="1">TODAY()</f>
        <v>45233</v>
      </c>
      <c r="I51" s="135">
        <f>'Inputs &amp; Assumptions'!D6</f>
        <v>44340000</v>
      </c>
      <c r="J51" s="135">
        <f>I51/D51</f>
        <v>221700</v>
      </c>
      <c r="K51" s="136">
        <f>I51/F51</f>
        <v>156.07839824279802</v>
      </c>
    </row>
  </sheetData>
  <mergeCells count="7">
    <mergeCell ref="L3:Q3"/>
    <mergeCell ref="B42:K42"/>
    <mergeCell ref="B32:I32"/>
    <mergeCell ref="B3:I3"/>
    <mergeCell ref="B4:I4"/>
    <mergeCell ref="B16:I16"/>
    <mergeCell ref="B23:I23"/>
  </mergeCells>
  <pageMargins left="0.7" right="0.7" top="0.75" bottom="0.75" header="0.3" footer="0.3"/>
  <cellWatches>
    <cellWatch r="H24"/>
    <cellWatch r="H23"/>
    <cellWatch r="H25"/>
    <cellWatch r="H27"/>
    <cellWatch r="H26"/>
    <cellWatch r="J24"/>
    <cellWatch r="J23"/>
    <cellWatch r="J25"/>
    <cellWatch r="H29"/>
    <cellWatch r="J29"/>
    <cellWatch r="J28"/>
    <cellWatch r="H28"/>
    <cellWatch r="J26"/>
    <cellWatch r="G24"/>
    <cellWatch r="G23"/>
    <cellWatch r="G25"/>
    <cellWatch r="I24"/>
    <cellWatch r="I23"/>
    <cellWatch r="I25"/>
    <cellWatch r="G27"/>
    <cellWatch r="G26"/>
    <cellWatch r="G29"/>
    <cellWatch r="I29"/>
    <cellWatch r="I28"/>
    <cellWatch r="J27"/>
    <cellWatch r="I26"/>
    <cellWatch r="I27"/>
    <cellWatch r="H22"/>
    <cellWatch r="H21"/>
    <cellWatch r="H30"/>
    <cellWatch r="J22"/>
    <cellWatch r="J21"/>
    <cellWatch r="J30"/>
    <cellWatch r="G22"/>
    <cellWatch r="G21"/>
    <cellWatch r="G30"/>
    <cellWatch r="I22"/>
    <cellWatch r="I21"/>
    <cellWatch r="I30"/>
    <cellWatch r="G28"/>
    <cellWatch r="D21"/>
    <cellWatch r="D22"/>
    <cellWatch r="D29"/>
    <cellWatch r="D28"/>
    <cellWatch r="D27"/>
    <cellWatch r="D30"/>
    <cellWatch r="D24"/>
    <cellWatch r="D23"/>
    <cellWatch r="D26"/>
    <cellWatch r="D25"/>
    <cellWatch r="C21"/>
    <cellWatch r="C22"/>
    <cellWatch r="C29"/>
    <cellWatch r="C28"/>
    <cellWatch r="C27"/>
    <cellWatch r="C30"/>
    <cellWatch r="C24"/>
    <cellWatch r="C23"/>
    <cellWatch r="C26"/>
    <cellWatch r="C25"/>
    <cellWatch r="J6"/>
    <cellWatch r="F10"/>
    <cellWatch r="F13"/>
    <cellWatch r="F22"/>
    <cellWatch r="F21"/>
    <cellWatch r="F24"/>
    <cellWatch r="F9"/>
    <cellWatch r="J9"/>
    <cellWatch r="F18"/>
    <cellWatch r="F15"/>
    <cellWatch r="F14"/>
    <cellWatch r="F8"/>
    <cellWatch r="F7"/>
    <cellWatch r="F31"/>
    <cellWatch r="F30"/>
    <cellWatch r="F39"/>
    <cellWatch r="F38"/>
    <cellWatch r="L7"/>
    <cellWatch r="H10"/>
    <cellWatch r="H15"/>
    <cellWatch r="I8"/>
    <cellWatch r="L9"/>
    <cellWatch r="H20"/>
    <cellWatch r="H19"/>
    <cellWatch r="H18"/>
    <cellWatch r="I7"/>
    <cellWatch r="I6"/>
    <cellWatch r="H31"/>
    <cellWatch r="H39"/>
    <cellWatch r="H38"/>
    <cellWatch r="L6"/>
    <cellWatch r="I5"/>
    <cellWatch r="J5"/>
    <cellWatch r="F6"/>
    <cellWatch r="F29"/>
    <cellWatch r="F32"/>
    <cellWatch r="F40"/>
    <cellWatch r="J7"/>
    <cellWatch r="S46"/>
    <cellWatch r="R24"/>
    <cellWatch r="R22"/>
    <cellWatch r="J10"/>
    <cellWatch r="R19"/>
    <cellWatch r="R18"/>
    <cellWatch r="R15"/>
    <cellWatch r="F26"/>
    <cellWatch r="F25"/>
    <cellWatch r="F34"/>
    <cellWatch r="F33"/>
    <cellWatch r="J8"/>
    <cellWatch r="F5"/>
    <cellWatch r="F49"/>
    <cellWatch r="R21"/>
    <cellWatch r="F37"/>
    <cellWatch r="R46"/>
    <cellWatch r="F28"/>
    <cellWatch r="F36"/>
    <cellWatch r="H37"/>
    <cellWatch r="H36"/>
    <cellWatch r="N4"/>
    <cellWatch r="N7"/>
    <cellWatch r="F50"/>
    <cellWatch r="F20"/>
    <cellWatch r="K6"/>
    <cellWatch r="K9"/>
    <cellWatch r="J2"/>
    <cellWatch r="F19"/>
    <cellWatch r="F4"/>
    <cellWatch r="F3"/>
    <cellWatch r="F27"/>
    <cellWatch r="F35"/>
    <cellWatch r="N21"/>
    <cellWatch r="N25"/>
    <cellWatch r="E10"/>
    <cellWatch r="E13"/>
    <cellWatch r="E22"/>
    <cellWatch r="E21"/>
    <cellWatch r="E24"/>
    <cellWatch r="E9"/>
    <cellWatch r="I9"/>
    <cellWatch r="E18"/>
    <cellWatch r="E15"/>
    <cellWatch r="E14"/>
    <cellWatch r="E8"/>
    <cellWatch r="E7"/>
    <cellWatch r="E31"/>
    <cellWatch r="E30"/>
    <cellWatch r="E39"/>
    <cellWatch r="E38"/>
    <cellWatch r="K7"/>
    <cellWatch r="G10"/>
    <cellWatch r="G15"/>
    <cellWatch r="H8"/>
    <cellWatch r="G20"/>
    <cellWatch r="G19"/>
    <cellWatch r="G18"/>
    <cellWatch r="H7"/>
    <cellWatch r="H6"/>
    <cellWatch r="G31"/>
    <cellWatch r="G39"/>
    <cellWatch r="G38"/>
    <cellWatch r="H5"/>
    <cellWatch r="E6"/>
    <cellWatch r="E29"/>
    <cellWatch r="E32"/>
    <cellWatch r="E40"/>
    <cellWatch r="Q24"/>
    <cellWatch r="Q22"/>
    <cellWatch r="I10"/>
    <cellWatch r="Q19"/>
    <cellWatch r="Q18"/>
    <cellWatch r="Q15"/>
    <cellWatch r="E26"/>
    <cellWatch r="E25"/>
    <cellWatch r="E34"/>
    <cellWatch r="E33"/>
    <cellWatch r="E5"/>
    <cellWatch r="E49"/>
    <cellWatch r="Q21"/>
    <cellWatch r="E37"/>
    <cellWatch r="Q46"/>
    <cellWatch r="E20"/>
    <cellWatch r="E28"/>
    <cellWatch r="E36"/>
    <cellWatch r="G37"/>
    <cellWatch r="G36"/>
    <cellWatch r="M4"/>
    <cellWatch r="M7"/>
    <cellWatch r="E50"/>
    <cellWatch r="H14"/>
    <cellWatch r="H33"/>
    <cellWatch r="H32"/>
    <cellWatch r="S49"/>
    <cellWatch r="R14"/>
    <cellWatch r="F62"/>
    <cellWatch r="R20"/>
    <cellWatch r="R49"/>
    <cellWatch r="N6"/>
    <cellWatch r="R45"/>
    <cellWatch r="F48"/>
    <cellWatch r="S45"/>
    <cellWatch r="H40"/>
    <cellWatch r="F41"/>
    <cellWatch r="R25"/>
    <cellWatch r="F42"/>
    <cellWatch r="H34"/>
    <cellWatch r="H42"/>
    <cellWatch r="H41"/>
    <cellWatch r="F43"/>
    <cellWatch r="N20"/>
    <cellWatch r="N24"/>
    <cellWatch r="L8"/>
    <cellWatch r="H13"/>
    <cellWatch r="L10"/>
    <cellWatch r="N5"/>
    <cellWatch r="N8"/>
    <cellWatch r="J13"/>
    <cellWatch r="S47"/>
    <cellWatch r="R47"/>
    <cellWatch r="F51"/>
    <cellWatch r="K10"/>
    <cellWatch r="F59"/>
    <cellWatch r="F60"/>
    <cellWatch r="F67"/>
    <cellWatch r="F66"/>
    <cellWatch r="F68"/>
    <cellWatch r="F58"/>
    <cellWatch r="H58"/>
    <cellWatch r="F63"/>
    <cellWatch r="F61"/>
    <cellWatch r="F75"/>
    <cellWatch r="F74"/>
    <cellWatch r="F83"/>
    <cellWatch r="F82"/>
    <cellWatch r="L60"/>
    <cellWatch r="L63"/>
    <cellWatch r="F64"/>
    <cellWatch r="F71"/>
    <cellWatch r="F70"/>
    <cellWatch r="F79"/>
    <cellWatch r="F78"/>
    <cellWatch r="H59"/>
    <cellWatch r="F65"/>
    <cellWatch r="F73"/>
    <cellWatch r="F81"/>
    <cellWatch r="F76"/>
    <cellWatch r="F84"/>
    <cellWatch r="F72"/>
    <cellWatch r="F80"/>
    <cellWatch r="J58"/>
    <cellWatch r="N22"/>
    <cellWatch r="N26"/>
    <cellWatch r="R54"/>
    <cellWatch r="F47"/>
    <cellWatch r="S54"/>
    <cellWatch r="S55"/>
    <cellWatch r="R55"/>
    <cellWatch r="T45"/>
    <cellWatch r="T24"/>
    <cellWatch r="T22"/>
    <cellWatch r="T19"/>
    <cellWatch r="T18"/>
    <cellWatch r="T15"/>
    <cellWatch r="L5"/>
    <cellWatch r="T21"/>
    <cellWatch r="N17"/>
    <cellWatch r="J15"/>
    <cellWatch r="K8"/>
    <cellWatch r="N19"/>
    <cellWatch r="J20"/>
    <cellWatch r="J19"/>
    <cellWatch r="J18"/>
    <cellWatch r="J31"/>
    <cellWatch r="J39"/>
    <cellWatch r="J38"/>
    <cellWatch r="N16"/>
    <cellWatch r="K5"/>
    <cellWatch r="P4"/>
    <cellWatch r="P7"/>
    <cellWatch r="J37"/>
    <cellWatch r="J36"/>
    <cellWatch r="L2"/>
    <cellWatch r="U45"/>
    <cellWatch r="M16"/>
    <cellWatch r="M19"/>
    <cellWatch r="J32"/>
    <cellWatch r="J40"/>
    <cellWatch r="U46"/>
    <cellWatch r="T25"/>
    <cellWatch r="T20"/>
    <cellWatch r="T46"/>
    <cellWatch r="J34"/>
    <cellWatch r="J33"/>
    <cellWatch r="J42"/>
    <cellWatch r="J41"/>
    <cellWatch r="N9"/>
    <cellWatch r="G17"/>
    <cellWatch r="G16"/>
    <cellWatch r="O7"/>
    <cellWatch r="L16"/>
    <cellWatch r="L22"/>
    <cellWatch r="L21"/>
    <cellWatch r="M8"/>
    <cellWatch r="O9"/>
    <cellWatch r="L20"/>
    <cellWatch r="L19"/>
    <cellWatch r="L17"/>
    <cellWatch r="M6"/>
    <cellWatch r="O6"/>
    <cellWatch r="M5"/>
    <cellWatch r="R23"/>
    <cellWatch r="N10"/>
    <cellWatch r="R17"/>
    <cellWatch r="R16"/>
    <cellWatch r="Q14"/>
    <cellWatch r="Q17"/>
    <cellWatch r="F77"/>
    <cellWatch r="E3"/>
    <cellWatch r="Q20"/>
    <cellWatch r="F16"/>
    <cellWatch r="F17"/>
    <cellWatch r="M9"/>
    <cellWatch r="E41"/>
    <cellWatch r="K16"/>
    <cellWatch r="K22"/>
    <cellWatch r="K21"/>
    <cellWatch r="K20"/>
    <cellWatch r="K19"/>
    <cellWatch r="K17"/>
    <cellWatch r="G33"/>
    <cellWatch r="G32"/>
    <cellWatch r="G41"/>
    <cellWatch r="G40"/>
    <cellWatch r="M10"/>
    <cellWatch r="E27"/>
    <cellWatch r="E35"/>
    <cellWatch r="E76"/>
    <cellWatch r="F23"/>
    <cellWatch r="P14"/>
    <cellWatch r="P17"/>
    <cellWatch r="E77"/>
    <cellWatch r="L15"/>
    <cellWatch r="H35"/>
    <cellWatch r="S48"/>
    <cellWatch r="R48"/>
    <cellWatch r="Q16"/>
    <cellWatch r="R53"/>
    <cellWatch r="S53"/>
    <cellWatch r="Q23"/>
    <cellWatch r="O8"/>
    <cellWatch r="L14"/>
    <cellWatch r="O10"/>
    <cellWatch r="N14"/>
    <cellWatch r="F124"/>
    <cellWatch r="F125"/>
    <cellWatch r="F132"/>
    <cellWatch r="F131"/>
    <cellWatch r="F133"/>
    <cellWatch r="F123"/>
    <cellWatch r="L123"/>
    <cellWatch r="F128"/>
    <cellWatch r="F127"/>
    <cellWatch r="F126"/>
    <cellWatch r="F140"/>
    <cellWatch r="F139"/>
    <cellWatch r="F148"/>
    <cellWatch r="F147"/>
    <cellWatch r="O125"/>
    <cellWatch r="O128"/>
    <cellWatch r="F129"/>
    <cellWatch r="F136"/>
    <cellWatch r="F135"/>
    <cellWatch r="F144"/>
    <cellWatch r="F143"/>
    <cellWatch r="L124"/>
    <cellWatch r="F130"/>
    <cellWatch r="F138"/>
    <cellWatch r="F146"/>
    <cellWatch r="F141"/>
    <cellWatch r="F149"/>
    <cellWatch r="F137"/>
    <cellWatch r="F145"/>
    <cellWatch r="H124"/>
    <cellWatch r="H127"/>
    <cellWatch r="H132"/>
    <cellWatch r="H131"/>
    <cellWatch r="N123"/>
    <cellWatch r="H130"/>
    <cellWatch r="H129"/>
    <cellWatch r="H128"/>
    <cellWatch r="H138"/>
    <cellWatch r="H137"/>
    <cellWatch r="H146"/>
    <cellWatch r="H145"/>
    <cellWatch r="H136"/>
    <cellWatch r="Q25"/>
    <cellWatch r="R62"/>
    <cellWatch r="S62"/>
    <cellWatch r="S63"/>
    <cellWatch r="R63"/>
    <cellWatch r="T53"/>
    <cellWatch r="T23"/>
    <cellWatch r="T17"/>
    <cellWatch r="T16"/>
    <cellWatch r="O5"/>
    <cellWatch r="Q7"/>
    <cellWatch r="L26"/>
    <cellWatch r="Q9"/>
    <cellWatch r="L33"/>
    <cellWatch r="L32"/>
    <cellWatch r="L41"/>
    <cellWatch r="L40"/>
    <cellWatch r="Q6"/>
    <cellWatch r="L31"/>
    <cellWatch r="L30"/>
    <cellWatch r="L39"/>
    <cellWatch r="L38"/>
    <cellWatch r="L29"/>
    <cellWatch r="N2"/>
    <cellWatch r="U53"/>
    <cellWatch r="P6"/>
    <cellWatch r="P9"/>
    <cellWatch r="L27"/>
    <cellWatch r="L34"/>
    <cellWatch r="U54"/>
    <cellWatch r="T54"/>
    <cellWatch r="L28"/>
    <cellWatch r="L36"/>
    <cellWatch r="L35"/>
    <cellWatch r="L42"/>
    <cellWatch r="L23"/>
    <cellWatch r="R52"/>
    <cellWatch r="S52"/>
    <cellWatch r="K23"/>
    <cellWatch r="E75"/>
    <cellWatch r="F69"/>
    <cellWatch r="F122"/>
    <cellWatch r="L122"/>
    <cellWatch r="O124"/>
    <cellWatch r="O127"/>
    <cellWatch r="F134"/>
    <cellWatch r="F142"/>
    <cellWatch r="H123"/>
    <cellWatch r="H126"/>
    <cellWatch r="N122"/>
    <cellWatch r="H144"/>
    <cellWatch r="H135"/>
    <cellWatch r="R61"/>
    <cellWatch r="S61"/>
    <cellWatch r="T52"/>
    <cellWatch r="N23"/>
    <cellWatch r="L37"/>
    <cellWatch r="U52"/>
    <cellWatch r="R27"/>
    <cellWatch r="P15"/>
    <cellWatch r="P18"/>
    <cellWatch r="Q26"/>
    <cellWatch r="Q10"/>
    <cellWatch r="P10"/>
    <cellWatch r="D20"/>
    <cellWatch r="D19"/>
    <cellWatch r="D31"/>
    <cellWatch r="D38"/>
    <cellWatch r="D37"/>
    <cellWatch r="D32"/>
    <cellWatch r="D39"/>
    <cellWatch r="D34"/>
    <cellWatch r="D33"/>
    <cellWatch r="D5"/>
    <cellWatch r="E71"/>
    <cellWatch r="R50"/>
    <cellWatch r="D36"/>
    <cellWatch r="O14"/>
    <cellWatch r="O16"/>
    <cellWatch r="E72"/>
    <cellWatch r="H2"/>
    <cellWatch r="E4"/>
    <cellWatch r="D3"/>
    <cellWatch r="D35"/>
    <cellWatch r="R44"/>
    <cellWatch r="D65"/>
    <cellWatch r="O15"/>
    <cellWatch r="D40"/>
    <cellWatch r="K14"/>
    <cellWatch r="O17"/>
    <cellWatch r="R51"/>
    <cellWatch r="E73"/>
    <cellWatch r="D16"/>
    <cellWatch r="D17"/>
    <cellWatch r="D15"/>
    <cellWatch r="C20"/>
    <cellWatch r="C19"/>
    <cellWatch r="D8"/>
    <cellWatch r="D7"/>
    <cellWatch r="C31"/>
    <cellWatch r="C38"/>
    <cellWatch r="C37"/>
    <cellWatch r="D6"/>
    <cellWatch r="C32"/>
    <cellWatch r="C39"/>
    <cellWatch r="C34"/>
    <cellWatch r="C33"/>
    <cellWatch r="C5"/>
    <cellWatch r="D71"/>
    <cellWatch r="C36"/>
    <cellWatch r="D72"/>
    <cellWatch r="O20"/>
    <cellWatch r="O23"/>
    <cellWatch r="E119"/>
    <cellWatch r="E120"/>
    <cellWatch r="E127"/>
    <cellWatch r="E126"/>
    <cellWatch r="E128"/>
    <cellWatch r="E118"/>
    <cellWatch r="H118"/>
    <cellWatch r="E123"/>
    <cellWatch r="E122"/>
    <cellWatch r="E121"/>
    <cellWatch r="E135"/>
    <cellWatch r="E134"/>
    <cellWatch r="E143"/>
    <cellWatch r="E142"/>
    <cellWatch r="N120"/>
    <cellWatch r="E124"/>
    <cellWatch r="E131"/>
    <cellWatch r="E130"/>
    <cellWatch r="E139"/>
    <cellWatch r="E138"/>
    <cellWatch r="H119"/>
    <cellWatch r="E125"/>
    <cellWatch r="E133"/>
    <cellWatch r="E141"/>
    <cellWatch r="E136"/>
    <cellWatch r="E144"/>
    <cellWatch r="E132"/>
    <cellWatch r="E140"/>
    <cellWatch r="G119"/>
    <cellWatch r="G122"/>
    <cellWatch r="G127"/>
    <cellWatch r="G126"/>
    <cellWatch r="L118"/>
    <cellWatch r="G125"/>
    <cellWatch r="G124"/>
    <cellWatch r="G123"/>
    <cellWatch r="G133"/>
    <cellWatch r="G132"/>
    <cellWatch r="G141"/>
    <cellWatch r="G140"/>
    <cellWatch r="G131"/>
    <cellWatch r="O21"/>
    <cellWatch r="O24"/>
    <cellWatch r="D41"/>
    <cellWatch r="G34"/>
    <cellWatch r="G35"/>
    <cellWatch r="G47"/>
    <cellWatch r="G46"/>
    <cellWatch r="Q56"/>
    <cellWatch r="H16"/>
    <cellWatch r="H17"/>
    <cellWatch r="R56"/>
    <cellWatch r="Q50"/>
    <cellWatch r="N15"/>
    <cellWatch r="N18"/>
    <cellWatch r="J14"/>
    <cellWatch r="R57"/>
    <cellWatch r="Q57"/>
    <cellWatch r="E23"/>
    <cellWatch r="E17"/>
    <cellWatch r="E16"/>
    <cellWatch r="P24"/>
    <cellWatch r="P23"/>
    <cellWatch r="P16"/>
    <cellWatch r="E78"/>
    <cellWatch r="P22"/>
    <cellWatch r="P56"/>
    <cellWatch r="E19"/>
    <cellWatch r="M14"/>
    <cellWatch r="M17"/>
    <cellWatch r="E79"/>
    <cellWatch r="J125"/>
    <cellWatch r="F150"/>
    <cellWatch r="N127"/>
    <cellWatch r="N130"/>
    <cellWatch r="J126"/>
    <cellWatch r="F151"/>
    <cellWatch r="H134"/>
    <cellWatch r="H133"/>
    <cellWatch r="L125"/>
    <cellWatch r="H140"/>
    <cellWatch r="H139"/>
    <cellWatch r="H148"/>
    <cellWatch r="H147"/>
    <cellWatch r="H43"/>
    <cellWatch r="F44"/>
    <cellWatch r="Q55"/>
    <cellWatch r="Q64"/>
    <cellWatch r="F85"/>
    <cellWatch r="F86"/>
    <cellWatch r="R64"/>
    <cellWatch r="R65"/>
    <cellWatch r="Q65"/>
    <cellWatch r="S24"/>
    <cellWatch r="S23"/>
    <cellWatch r="S18"/>
    <cellWatch r="S17"/>
    <cellWatch r="S16"/>
    <cellWatch r="S22"/>
    <cellWatch r="J16"/>
    <cellWatch r="J17"/>
    <cellWatch r="T55"/>
    <cellWatch r="T56"/>
    <cellWatch r="S25"/>
    <cellWatch r="S19"/>
    <cellWatch r="S56"/>
    <cellWatch r="J35"/>
    <cellWatch r="J43"/>
    <cellWatch r="O19"/>
    <cellWatch r="G42"/>
    <cellWatch r="G50"/>
    <cellWatch r="G49"/>
    <cellWatch r="Q30"/>
    <cellWatch r="Q58"/>
    <cellWatch r="F52"/>
    <cellWatch r="F53"/>
    <cellWatch r="H52"/>
    <cellWatch r="H51"/>
    <cellWatch r="H53"/>
    <cellWatch r="H50"/>
    <cellWatch r="H65"/>
    <cellWatch r="H64"/>
    <cellWatch r="H73"/>
    <cellWatch r="H72"/>
    <cellWatch r="H63"/>
    <cellWatch r="R89"/>
    <cellWatch r="Q53"/>
    <cellWatch r="Q52"/>
    <cellWatch r="F55"/>
    <cellWatch r="F54"/>
    <cellWatch r="F111"/>
    <cellWatch r="Q51"/>
    <cellWatch r="Q89"/>
    <cellWatch r="H62"/>
    <cellWatch r="H71"/>
    <cellWatch r="H70"/>
    <cellWatch r="H61"/>
    <cellWatch r="F112"/>
    <cellWatch r="H54"/>
    <cellWatch r="H67"/>
    <cellWatch r="H66"/>
    <cellWatch r="R83"/>
    <cellWatch r="F105"/>
    <cellWatch r="Q83"/>
    <cellWatch r="N51"/>
    <cellWatch r="N54"/>
    <cellWatch r="E52"/>
    <cellWatch r="E51"/>
    <cellWatch r="E53"/>
    <cellWatch r="E56"/>
    <cellWatch r="E65"/>
    <cellWatch r="E64"/>
    <cellWatch r="G52"/>
    <cellWatch r="G51"/>
    <cellWatch r="G53"/>
    <cellWatch r="G65"/>
    <cellWatch r="G64"/>
    <cellWatch r="G73"/>
    <cellWatch r="G72"/>
    <cellWatch r="G63"/>
    <cellWatch r="E63"/>
    <cellWatch r="E66"/>
    <cellWatch r="E74"/>
    <cellWatch r="P53"/>
    <cellWatch r="P52"/>
    <cellWatch r="E55"/>
    <cellWatch r="E54"/>
    <cellWatch r="E68"/>
    <cellWatch r="E67"/>
    <cellWatch r="E111"/>
    <cellWatch r="P51"/>
    <cellWatch r="P89"/>
    <cellWatch r="E62"/>
    <cellWatch r="E70"/>
    <cellWatch r="G62"/>
    <cellWatch r="G71"/>
    <cellWatch r="G70"/>
    <cellWatch r="G61"/>
    <cellWatch r="E112"/>
    <cellWatch r="H74"/>
    <cellWatch r="R90"/>
    <cellWatch r="Q54"/>
    <cellWatch r="Q90"/>
    <cellWatch r="F113"/>
    <cellWatch r="F159"/>
    <cellWatch r="F160"/>
    <cellWatch r="F167"/>
    <cellWatch r="F166"/>
    <cellWatch r="F168"/>
    <cellWatch r="F158"/>
    <cellWatch r="J158"/>
    <cellWatch r="F163"/>
    <cellWatch r="F162"/>
    <cellWatch r="F161"/>
    <cellWatch r="F175"/>
    <cellWatch r="F174"/>
    <cellWatch r="F183"/>
    <cellWatch r="F182"/>
    <cellWatch r="N160"/>
    <cellWatch r="N163"/>
    <cellWatch r="F164"/>
    <cellWatch r="F171"/>
    <cellWatch r="F170"/>
    <cellWatch r="F179"/>
    <cellWatch r="F178"/>
    <cellWatch r="J159"/>
    <cellWatch r="F165"/>
    <cellWatch r="F173"/>
    <cellWatch r="F181"/>
    <cellWatch r="F176"/>
    <cellWatch r="F184"/>
    <cellWatch r="F172"/>
    <cellWatch r="F180"/>
    <cellWatch r="H159"/>
    <cellWatch r="H162"/>
    <cellWatch r="H167"/>
    <cellWatch r="H166"/>
    <cellWatch r="L158"/>
    <cellWatch r="H165"/>
    <cellWatch r="H164"/>
    <cellWatch r="H163"/>
    <cellWatch r="H173"/>
    <cellWatch r="H172"/>
    <cellWatch r="H181"/>
    <cellWatch r="H180"/>
    <cellWatch r="H171"/>
    <cellWatch r="N52"/>
    <cellWatch r="N55"/>
    <cellWatch r="Q88"/>
    <cellWatch r="F110"/>
    <cellWatch r="R88"/>
    <cellWatch r="H55"/>
    <cellWatch r="H68"/>
    <cellWatch r="H76"/>
    <cellWatch r="H75"/>
    <cellWatch r="N50"/>
    <cellWatch r="N53"/>
    <cellWatch r="Q97"/>
    <cellWatch r="F118"/>
    <cellWatch r="F119"/>
    <cellWatch r="R97"/>
    <cellWatch r="R98"/>
    <cellWatch r="Q98"/>
    <cellWatch r="Q63"/>
    <cellWatch r="Q91"/>
    <cellWatch r="D51"/>
    <cellWatch r="D50"/>
    <cellWatch r="D52"/>
    <cellWatch r="H9"/>
    <cellWatch r="D56"/>
    <cellWatch r="D64"/>
    <cellWatch r="D63"/>
    <cellWatch r="D70"/>
    <cellWatch r="G8"/>
    <cellWatch r="G7"/>
    <cellWatch r="G6"/>
    <cellWatch r="G5"/>
    <cellWatch r="D62"/>
    <cellWatch r="P85"/>
    <cellWatch r="O52"/>
    <cellWatch r="O51"/>
    <cellWatch r="D54"/>
    <cellWatch r="D53"/>
    <cellWatch r="D67"/>
    <cellWatch r="D66"/>
    <cellWatch r="E107"/>
    <cellWatch r="O50"/>
    <cellWatch r="O85"/>
    <cellWatch r="D61"/>
    <cellWatch r="D69"/>
    <cellWatch r="E108"/>
    <cellWatch r="D55"/>
    <cellWatch r="D68"/>
    <cellWatch r="P80"/>
    <cellWatch r="D101"/>
    <cellWatch r="O80"/>
    <cellWatch r="D73"/>
    <cellWatch r="G14"/>
    <cellWatch r="G9"/>
    <cellWatch r="P86"/>
    <cellWatch r="O53"/>
    <cellWatch r="O86"/>
    <cellWatch r="E109"/>
    <cellWatch r="D10"/>
    <cellWatch r="D14"/>
    <cellWatch r="C51"/>
    <cellWatch r="C50"/>
    <cellWatch r="C52"/>
    <cellWatch r="D9"/>
    <cellWatch r="C56"/>
    <cellWatch r="C15"/>
    <cellWatch r="C64"/>
    <cellWatch r="C63"/>
    <cellWatch r="C71"/>
    <cellWatch r="C70"/>
    <cellWatch r="C62"/>
    <cellWatch r="C65"/>
    <cellWatch r="C72"/>
    <cellWatch r="C54"/>
    <cellWatch r="C53"/>
    <cellWatch r="C67"/>
    <cellWatch r="C66"/>
    <cellWatch r="D107"/>
    <cellWatch r="C17"/>
    <cellWatch r="C61"/>
    <cellWatch r="C69"/>
    <cellWatch r="E61"/>
    <cellWatch r="E69"/>
    <cellWatch r="D108"/>
    <cellWatch r="L50"/>
    <cellWatch r="L53"/>
    <cellWatch r="E155"/>
    <cellWatch r="E156"/>
    <cellWatch r="E163"/>
    <cellWatch r="E162"/>
    <cellWatch r="E164"/>
    <cellWatch r="E154"/>
    <cellWatch r="H154"/>
    <cellWatch r="E159"/>
    <cellWatch r="E158"/>
    <cellWatch r="E157"/>
    <cellWatch r="E171"/>
    <cellWatch r="E170"/>
    <cellWatch r="E179"/>
    <cellWatch r="E178"/>
    <cellWatch r="L156"/>
    <cellWatch r="L159"/>
    <cellWatch r="E160"/>
    <cellWatch r="E167"/>
    <cellWatch r="E166"/>
    <cellWatch r="E175"/>
    <cellWatch r="E174"/>
    <cellWatch r="H155"/>
    <cellWatch r="E161"/>
    <cellWatch r="E169"/>
    <cellWatch r="E177"/>
    <cellWatch r="E172"/>
    <cellWatch r="E180"/>
    <cellWatch r="E168"/>
    <cellWatch r="E176"/>
    <cellWatch r="G155"/>
    <cellWatch r="G158"/>
    <cellWatch r="G163"/>
    <cellWatch r="G162"/>
    <cellWatch r="J154"/>
    <cellWatch r="G161"/>
    <cellWatch r="G160"/>
    <cellWatch r="G159"/>
    <cellWatch r="G169"/>
    <cellWatch r="G168"/>
    <cellWatch r="G177"/>
    <cellWatch r="G176"/>
    <cellWatch r="G167"/>
    <cellWatch r="L51"/>
    <cellWatch r="L54"/>
    <cellWatch r="D75"/>
    <cellWatch r="D76"/>
    <cellWatch r="G54"/>
    <cellWatch r="G55"/>
    <cellWatch r="G67"/>
    <cellWatch r="G66"/>
    <cellWatch r="G68"/>
    <cellWatch r="G75"/>
    <cellWatch r="G74"/>
    <cellWatch r="G83"/>
    <cellWatch r="G82"/>
    <cellWatch r="S88"/>
    <cellWatch r="S51"/>
    <cellWatch r="J52"/>
    <cellWatch r="J51"/>
    <cellWatch r="J53"/>
    <cellWatch r="J50"/>
    <cellWatch r="J65"/>
    <cellWatch r="J64"/>
    <cellWatch r="J73"/>
    <cellWatch r="J72"/>
    <cellWatch r="J63"/>
    <cellWatch r="J62"/>
    <cellWatch r="J71"/>
    <cellWatch r="J70"/>
    <cellWatch r="J61"/>
    <cellWatch r="T88"/>
    <cellWatch r="J54"/>
    <cellWatch r="J66"/>
    <cellWatch r="J74"/>
    <cellWatch r="T89"/>
    <cellWatch r="S50"/>
    <cellWatch r="S89"/>
    <cellWatch r="J55"/>
    <cellWatch r="J68"/>
    <cellWatch r="J67"/>
    <cellWatch r="J76"/>
    <cellWatch r="J75"/>
    <cellWatch r="P21"/>
    <cellWatch r="P20"/>
    <cellWatch r="Q47"/>
    <cellWatch r="J122"/>
    <cellWatch r="N124"/>
    <cellWatch r="J123"/>
    <cellWatch r="Q61"/>
    <cellWatch r="Q62"/>
    <cellWatch r="S21"/>
    <cellWatch r="S20"/>
    <cellWatch r="Q27"/>
    <cellWatch r="P54"/>
    <cellWatch r="Q48"/>
    <cellWatch r="N125"/>
    <cellWatch r="N128"/>
    <cellWatch r="J124"/>
    <cellWatch r="Q5"/>
    <cellWatch r="P5"/>
    <cellWatch r="Q4"/>
    <cellWatch r="Q8"/>
    <cellWatch r="O3"/>
    <cellWatch r="Q49"/>
    <cellWatch r="P55"/>
    <cellWatch r="N126"/>
    <cellWatch r="N129"/>
    <cellWatch r="H125"/>
    <cellWatch r="O4"/>
    <cellWatch r="D18"/>
    <cellWatch r="P44"/>
    <cellWatch r="O44"/>
    <cellWatch r="C16"/>
    <cellWatch r="C35"/>
    <cellWatch r="C18"/>
    <cellWatch r="D74"/>
    <cellWatch r="E129"/>
    <cellWatch r="H120"/>
    <cellWatch r="E137"/>
    <cellWatch r="E145"/>
    <cellWatch r="H121"/>
    <cellWatch r="E146"/>
    <cellWatch r="G121"/>
    <cellWatch r="G129"/>
    <cellWatch r="G128"/>
    <cellWatch r="J120"/>
    <cellWatch r="G135"/>
    <cellWatch r="G134"/>
    <cellWatch r="G143"/>
    <cellWatch r="G142"/>
    <cellWatch r="G48"/>
    <cellWatch r="P49"/>
    <cellWatch r="O49"/>
    <cellWatch r="O18"/>
    <cellWatch r="P50"/>
    <cellWatch r="O22"/>
    <cellWatch r="L120"/>
    <cellWatch r="J118"/>
    <cellWatch r="M122"/>
    <cellWatch r="M2"/>
    <cellWatch r="J3"/>
    <cellWatch r="P19"/>
    <cellWatch r="Q29"/>
    <cellWatch r="G3"/>
    <cellWatch r="P46"/>
    <cellWatch r="O46"/>
    <cellWatch r="L24"/>
    <cellWatch r="L25"/>
    <cellWatch r="D42"/>
    <cellWatch r="L3"/>
    <cellWatch r="O25"/>
    <cellWatch r="O126"/>
    <cellWatch r="O129"/>
    <cellWatch r="M124"/>
    <cellWatch r="O26"/>
    <cellWatch r="S64"/>
    <cellWatch r="M3"/>
    <cellWatch r="U55"/>
    <cellWatch r="R29"/>
    <cellWatch r="H11"/>
    <cellWatch r="G13"/>
    <cellWatch r="F12"/>
    <cellWatch r="K13"/>
    <cellWatch r="K18"/>
    <cellWatch r="R13"/>
    <cellWatch r="Q11"/>
    <cellWatch r="F56"/>
    <cellWatch r="K2"/>
    <cellWatch r="E12"/>
    <cellWatch r="P11"/>
    <cellWatch r="K12"/>
    <cellWatch r="R12"/>
    <cellWatch r="Q13"/>
    <cellWatch r="K11"/>
    <cellWatch r="Q12"/>
    <cellWatch r="M11"/>
    <cellWatch r="F57"/>
    <cellWatch r="F121"/>
    <cellWatch r="F120"/>
    <cellWatch r="K120"/>
    <cellWatch r="O122"/>
    <cellWatch r="K121"/>
    <cellWatch r="M120"/>
    <cellWatch r="H143"/>
    <cellWatch r="H142"/>
    <cellWatch r="R59"/>
    <cellWatch r="S59"/>
    <cellWatch r="S60"/>
    <cellWatch r="R60"/>
    <cellWatch r="T50"/>
    <cellWatch r="T14"/>
    <cellWatch r="T13"/>
    <cellWatch r="M13"/>
    <cellWatch r="M18"/>
    <cellWatch r="K30"/>
    <cellWatch r="K29"/>
    <cellWatch r="K28"/>
    <cellWatch r="R11"/>
    <cellWatch r="K27"/>
    <cellWatch r="K26"/>
    <cellWatch r="U50"/>
    <cellWatch r="K24"/>
    <cellWatch r="U51"/>
    <cellWatch r="T51"/>
    <cellWatch r="K25"/>
    <cellWatch r="K15"/>
    <cellWatch r="S44"/>
    <cellWatch r="K119"/>
    <cellWatch r="O121"/>
    <cellWatch r="M119"/>
    <cellWatch r="H141"/>
    <cellWatch r="R58"/>
    <cellWatch r="S58"/>
    <cellWatch r="T49"/>
    <cellWatch r="M20"/>
    <cellWatch r="U49"/>
    <cellWatch r="P12"/>
    <cellWatch r="D13"/>
    <cellWatch r="N11"/>
    <cellWatch r="N13"/>
    <cellWatch r="R41"/>
    <cellWatch r="D44"/>
    <cellWatch r="R42"/>
    <cellWatch r="N12"/>
    <cellWatch r="J11"/>
    <cellWatch r="D12"/>
    <cellWatch r="C13"/>
    <cellWatch r="E116"/>
    <cellWatch r="E117"/>
    <cellWatch r="E115"/>
    <cellWatch r="H115"/>
    <cellWatch r="M117"/>
    <cellWatch r="H116"/>
    <cellWatch r="G116"/>
    <cellWatch r="K115"/>
    <cellWatch r="G120"/>
    <cellWatch r="G130"/>
    <cellWatch r="G138"/>
    <cellWatch r="G137"/>
    <cellWatch r="H12"/>
    <cellWatch r="I11"/>
    <cellWatch r="M12"/>
    <cellWatch r="M15"/>
    <cellWatch r="E11"/>
    <cellWatch r="P13"/>
    <cellWatch r="E57"/>
    <cellWatch r="L11"/>
    <cellWatch r="E58"/>
    <cellWatch r="M22"/>
    <cellWatch r="H122"/>
    <cellWatch r="M127"/>
    <cellWatch r="K122"/>
    <cellWatch r="M23"/>
    <cellWatch r="M21"/>
    <cellWatch r="S15"/>
    <cellWatch r="S14"/>
    <cellWatch r="S13"/>
    <cellWatch r="O11"/>
    <cellWatch r="H44"/>
    <cellWatch r="F45"/>
    <cellWatch r="R86"/>
    <cellWatch r="F46"/>
    <cellWatch r="F108"/>
    <cellWatch r="Q86"/>
    <cellWatch r="H49"/>
    <cellWatch r="F109"/>
    <cellWatch r="H46"/>
    <cellWatch r="H45"/>
    <cellWatch r="R80"/>
    <cellWatch r="Q80"/>
    <cellWatch r="M30"/>
    <cellWatch r="M33"/>
    <cellWatch r="E44"/>
    <cellWatch r="E43"/>
    <cellWatch r="G44"/>
    <cellWatch r="G43"/>
    <cellWatch r="E42"/>
    <cellWatch r="E45"/>
    <cellWatch r="E47"/>
    <cellWatch r="E46"/>
    <cellWatch r="P48"/>
    <cellWatch r="L13"/>
    <cellWatch r="R87"/>
    <cellWatch r="Q87"/>
    <cellWatch r="F156"/>
    <cellWatch r="F157"/>
    <cellWatch r="F155"/>
    <cellWatch r="M157"/>
    <cellWatch r="M160"/>
    <cellWatch r="H156"/>
    <cellWatch r="F169"/>
    <cellWatch r="F177"/>
    <cellWatch r="K155"/>
    <cellWatch r="H161"/>
    <cellWatch r="H160"/>
    <cellWatch r="H170"/>
    <cellWatch r="H169"/>
    <cellWatch r="H178"/>
    <cellWatch r="H177"/>
    <cellWatch r="H168"/>
    <cellWatch r="M31"/>
    <cellWatch r="M34"/>
    <cellWatch r="Q85"/>
    <cellWatch r="F89"/>
    <cellWatch r="R85"/>
    <cellWatch r="H47"/>
    <cellWatch r="M29"/>
    <cellWatch r="M32"/>
    <cellWatch r="Q94"/>
    <cellWatch r="F115"/>
    <cellWatch r="F116"/>
    <cellWatch r="R94"/>
    <cellWatch r="R95"/>
    <cellWatch r="Q95"/>
    <cellWatch r="Q60"/>
    <cellWatch r="D43"/>
    <cellWatch r="D49"/>
    <cellWatch r="P82"/>
    <cellWatch r="O48"/>
    <cellWatch r="O13"/>
    <cellWatch r="O12"/>
    <cellWatch r="D46"/>
    <cellWatch r="D45"/>
    <cellWatch r="E86"/>
    <cellWatch r="O47"/>
    <cellWatch r="O82"/>
    <cellWatch r="D48"/>
    <cellWatch r="E87"/>
    <cellWatch r="D47"/>
    <cellWatch r="P77"/>
    <cellWatch r="D80"/>
    <cellWatch r="O77"/>
    <cellWatch r="P83"/>
    <cellWatch r="O83"/>
    <cellWatch r="E88"/>
    <cellWatch r="D11"/>
    <cellWatch r="C12"/>
    <cellWatch r="C43"/>
    <cellWatch r="C42"/>
    <cellWatch r="C49"/>
    <cellWatch r="C41"/>
    <cellWatch r="C44"/>
    <cellWatch r="N49"/>
    <cellWatch r="N48"/>
    <cellWatch r="C46"/>
    <cellWatch r="C45"/>
    <cellWatch r="D86"/>
    <cellWatch r="N47"/>
    <cellWatch r="N82"/>
    <cellWatch r="C14"/>
    <cellWatch r="C40"/>
    <cellWatch r="C48"/>
    <cellWatch r="E48"/>
    <cellWatch r="D87"/>
    <cellWatch r="K32"/>
    <cellWatch r="E152"/>
    <cellWatch r="E153"/>
    <cellWatch r="E151"/>
    <cellWatch r="H151"/>
    <cellWatch r="K153"/>
    <cellWatch r="K156"/>
    <cellWatch r="H152"/>
    <cellWatch r="E165"/>
    <cellWatch r="E173"/>
    <cellWatch r="G152"/>
    <cellWatch r="G157"/>
    <cellWatch r="G156"/>
    <cellWatch r="G166"/>
    <cellWatch r="G165"/>
    <cellWatch r="G174"/>
    <cellWatch r="G173"/>
    <cellWatch r="G164"/>
    <cellWatch r="K33"/>
    <cellWatch r="G45"/>
    <cellWatch r="S85"/>
    <cellWatch r="T85"/>
    <cellWatch r="T86"/>
    <cellWatch r="S86"/>
    <cellWatch r="Q44"/>
    <cellWatch r="M121"/>
    <cellWatch r="Q59"/>
    <cellWatch r="Q45"/>
    <cellWatch r="M125"/>
    <cellWatch r="M123"/>
    <cellWatch r="M126"/>
    <cellWatch r="P41"/>
    <cellWatch r="O41"/>
    <cellWatch r="H117"/>
    <cellWatch r="G118"/>
    <cellWatch r="G139"/>
    <cellWatch r="P47"/>
    <cellWatch r="N46"/>
    <cellWatch r="K117"/>
    <cellWatch r="N121"/>
    <cellWatch r="L119"/>
    <cellWatch r="H3"/>
    <cellWatch r="P43"/>
    <cellWatch r="O43"/>
    <cellWatch r="K3"/>
    <cellWatch r="L121"/>
    <cellWatch r="R26"/>
    <cellWatch r="S12"/>
    <cellWatch r="L18"/>
    <cellWatch r="U47"/>
    <cellWatch r="T47"/>
    <cellWatch r="P8"/>
    <cellWatch r="Q122"/>
    <cellWatch r="Q125"/>
    <cellWatch r="O120"/>
    <cellWatch r="T39"/>
    <cellWatch r="U59"/>
    <cellWatch r="U60"/>
    <cellWatch r="T60"/>
    <cellWatch r="V50"/>
    <cellWatch r="V20"/>
    <cellWatch r="V18"/>
    <cellWatch r="V15"/>
    <cellWatch r="V14"/>
    <cellWatch r="V13"/>
    <cellWatch r="V17"/>
    <cellWatch r="S8"/>
    <cellWatch r="S10"/>
    <cellWatch r="M38"/>
    <cellWatch r="M37"/>
    <cellWatch r="S7"/>
    <cellWatch r="M28"/>
    <cellWatch r="T12"/>
    <cellWatch r="M27"/>
    <cellWatch r="M36"/>
    <cellWatch r="M35"/>
    <cellWatch r="M26"/>
    <cellWatch r="O2"/>
    <cellWatch r="W50"/>
    <cellWatch r="R7"/>
    <cellWatch r="R10"/>
    <cellWatch r="M24"/>
    <cellWatch r="W51"/>
    <cellWatch r="V21"/>
    <cellWatch r="V16"/>
    <cellWatch r="V51"/>
    <cellWatch r="M25"/>
    <cellWatch r="M39"/>
    <cellWatch r="Q121"/>
    <cellWatch r="Q124"/>
    <cellWatch r="O119"/>
    <cellWatch r="V49"/>
    <cellWatch r="V19"/>
    <cellWatch r="W49"/>
    <cellWatch r="S11"/>
    <cellWatch r="T48"/>
    <cellWatch r="Q43"/>
    <cellWatch r="T44"/>
    <cellWatch r="O117"/>
    <cellWatch r="M115"/>
    <cellWatch r="G11"/>
    <cellWatch r="G12"/>
    <cellWatch r="I14"/>
    <cellWatch r="I19"/>
    <cellWatch r="I18"/>
    <cellWatch r="I17"/>
    <cellWatch r="I16"/>
    <cellWatch r="I15"/>
    <cellWatch r="I36"/>
    <cellWatch r="I35"/>
    <cellWatch r="I34"/>
    <cellWatch r="I33"/>
    <cellWatch r="G4"/>
    <cellWatch r="I13"/>
    <cellWatch r="I37"/>
    <cellWatch r="I31"/>
    <cellWatch r="I39"/>
    <cellWatch r="I38"/>
    <cellWatch r="I12"/>
    <cellWatch r="G76"/>
    <cellWatch r="G146"/>
    <cellWatch r="G145"/>
    <cellWatch r="O123"/>
    <cellWatch r="G136"/>
    <cellWatch r="G144"/>
    <cellWatch r="G147"/>
    <cellWatch r="I122"/>
    <cellWatch r="I125"/>
    <cellWatch r="I130"/>
    <cellWatch r="I129"/>
    <cellWatch r="I128"/>
    <cellWatch r="I127"/>
    <cellWatch r="I126"/>
    <cellWatch r="I136"/>
    <cellWatch r="I135"/>
    <cellWatch r="I144"/>
    <cellWatch r="I143"/>
    <cellWatch r="I134"/>
    <cellWatch r="G81"/>
    <cellWatch r="T61"/>
    <cellWatch r="K36"/>
    <cellWatch r="K35"/>
    <cellWatch r="K34"/>
    <cellWatch r="K37"/>
    <cellWatch r="W52"/>
    <cellWatch r="V22"/>
    <cellWatch r="V52"/>
    <cellWatch r="K31"/>
    <cellWatch r="K39"/>
    <cellWatch r="K38"/>
    <cellWatch r="I20"/>
    <cellWatch r="G77"/>
    <cellWatch r="I32"/>
    <cellWatch r="G78"/>
    <cellWatch r="K123"/>
    <cellWatch r="G148"/>
    <cellWatch r="K124"/>
    <cellWatch r="G149"/>
    <cellWatch r="I124"/>
    <cellWatch r="I132"/>
    <cellWatch r="I131"/>
    <cellWatch r="I138"/>
    <cellWatch r="I137"/>
    <cellWatch r="I146"/>
    <cellWatch r="I145"/>
    <cellWatch r="I41"/>
    <cellWatch r="I40"/>
    <cellWatch r="G84"/>
    <cellWatch r="T62"/>
    <cellWatch r="T63"/>
    <cellWatch r="V53"/>
    <cellWatch r="W53"/>
    <cellWatch r="W54"/>
    <cellWatch r="V23"/>
    <cellWatch r="V54"/>
    <cellWatch r="K41"/>
    <cellWatch r="K40"/>
    <cellWatch r="H48"/>
    <cellWatch r="S28"/>
    <cellWatch r="I50"/>
    <cellWatch r="I49"/>
    <cellWatch r="I51"/>
    <cellWatch r="I48"/>
    <cellWatch r="I63"/>
    <cellWatch r="I62"/>
    <cellWatch r="I71"/>
    <cellWatch r="I70"/>
    <cellWatch r="I61"/>
    <cellWatch r="T87"/>
    <cellWatch r="G109"/>
    <cellWatch r="G69"/>
    <cellWatch r="S87"/>
    <cellWatch r="G60"/>
    <cellWatch r="I60"/>
    <cellWatch r="I69"/>
    <cellWatch r="I68"/>
    <cellWatch r="I59"/>
    <cellWatch r="G110"/>
    <cellWatch r="G59"/>
    <cellWatch r="I52"/>
    <cellWatch r="I65"/>
    <cellWatch r="I64"/>
    <cellWatch r="T81"/>
    <cellWatch r="G103"/>
    <cellWatch r="S81"/>
    <cellWatch r="E60"/>
    <cellWatch r="H60"/>
    <cellWatch r="H69"/>
    <cellWatch r="E110"/>
    <cellWatch r="I72"/>
    <cellWatch r="G111"/>
    <cellWatch r="G172"/>
    <cellWatch r="G181"/>
    <cellWatch r="G180"/>
    <cellWatch r="O158"/>
    <cellWatch r="O161"/>
    <cellWatch r="K157"/>
    <cellWatch r="G171"/>
    <cellWatch r="G179"/>
    <cellWatch r="G182"/>
    <cellWatch r="G170"/>
    <cellWatch r="G178"/>
    <cellWatch r="I157"/>
    <cellWatch r="I160"/>
    <cellWatch r="I165"/>
    <cellWatch r="I164"/>
    <cellWatch r="M156"/>
    <cellWatch r="I163"/>
    <cellWatch r="I162"/>
    <cellWatch r="I161"/>
    <cellWatch r="I171"/>
    <cellWatch r="I170"/>
    <cellWatch r="I179"/>
    <cellWatch r="I178"/>
    <cellWatch r="I169"/>
    <cellWatch r="G108"/>
    <cellWatch r="I53"/>
    <cellWatch r="I66"/>
    <cellWatch r="I74"/>
    <cellWatch r="I73"/>
    <cellWatch r="S95"/>
    <cellWatch r="G117"/>
    <cellWatch r="T95"/>
    <cellWatch r="T96"/>
    <cellWatch r="S96"/>
    <cellWatch r="D60"/>
    <cellWatch r="E105"/>
    <cellWatch r="D59"/>
    <cellWatch r="E106"/>
    <cellWatch r="I2"/>
    <cellWatch r="R78"/>
    <cellWatch r="D99"/>
    <cellWatch r="Q78"/>
    <cellWatch r="R84"/>
    <cellWatch r="Q84"/>
    <cellWatch r="C68"/>
    <cellWatch r="C60"/>
    <cellWatch r="D105"/>
    <cellWatch r="C59"/>
    <cellWatch r="E59"/>
    <cellWatch r="L12"/>
    <cellWatch r="D106"/>
    <cellWatch r="M48"/>
    <cellWatch r="M51"/>
    <cellWatch r="I152"/>
    <cellWatch r="M154"/>
    <cellWatch r="I153"/>
    <cellWatch r="H153"/>
    <cellWatch r="K152"/>
    <cellWatch r="H158"/>
    <cellWatch r="H157"/>
    <cellWatch r="H175"/>
    <cellWatch r="H174"/>
    <cellWatch r="M49"/>
    <cellWatch r="M52"/>
    <cellWatch r="H81"/>
    <cellWatch r="H80"/>
    <cellWatch r="V86"/>
    <cellWatch r="K50"/>
    <cellWatch r="K49"/>
    <cellWatch r="K51"/>
    <cellWatch r="K48"/>
    <cellWatch r="K63"/>
    <cellWatch r="K62"/>
    <cellWatch r="K71"/>
    <cellWatch r="K70"/>
    <cellWatch r="K61"/>
    <cellWatch r="K60"/>
    <cellWatch r="K69"/>
    <cellWatch r="K68"/>
    <cellWatch r="K59"/>
    <cellWatch r="W86"/>
    <cellWatch r="K52"/>
    <cellWatch r="K64"/>
    <cellWatch r="K72"/>
    <cellWatch r="W87"/>
    <cellWatch r="V48"/>
    <cellWatch r="V87"/>
    <cellWatch r="K53"/>
    <cellWatch r="K66"/>
    <cellWatch r="K65"/>
    <cellWatch r="K74"/>
    <cellWatch r="K73"/>
    <cellWatch r="I121"/>
    <cellWatch r="I142"/>
    <cellWatch r="I133"/>
    <cellWatch r="G80"/>
    <cellWatch r="T59"/>
    <cellWatch r="S6"/>
    <cellWatch r="S5"/>
    <cellWatch r="R8"/>
    <cellWatch r="R6"/>
    <cellWatch r="R5"/>
    <cellWatch r="S4"/>
    <cellWatch r="S9"/>
    <cellWatch r="Q3"/>
    <cellWatch r="I123"/>
    <cellWatch r="Q42"/>
    <cellWatch r="I118"/>
    <cellWatch r="I119"/>
    <cellWatch r="K118"/>
    <cellWatch r="I116"/>
    <cellWatch r="M118"/>
    <cellWatch r="I117"/>
    <cellWatch r="K116"/>
    <cellWatch r="V45"/>
    <cellWatch r="P122"/>
    <cellWatch r="P125"/>
    <cellWatch r="V59"/>
    <cellWatch r="V60"/>
    <cellWatch r="W20"/>
    <cellWatch r="W19"/>
    <cellWatch r="W16"/>
    <cellWatch r="W15"/>
    <cellWatch r="W14"/>
    <cellWatch r="W18"/>
    <cellWatch r="X50"/>
    <cellWatch r="X51"/>
    <cellWatch r="W21"/>
    <cellWatch r="W17"/>
    <cellWatch r="S27"/>
    <cellWatch r="I3"/>
    <cellWatch r="V47"/>
    <cellWatch r="P124"/>
    <cellWatch r="P127"/>
    <cellWatch r="V61"/>
    <cellWatch r="V62"/>
    <cellWatch r="W22"/>
    <cellWatch r="N3"/>
    <cellWatch r="X52"/>
    <cellWatch r="X53"/>
    <cellWatch r="W23"/>
    <cellWatch r="T27"/>
    <cellWatch r="D4"/>
    <cellWatch r="H4"/>
    <cellWatch r="I4"/>
    <cellWatch r="C4"/>
    <cellWatch r="C8"/>
    <cellWatch r="C9"/>
    <cellWatch r="C10"/>
    <cellWatch r="C6"/>
    <cellWatch r="C3"/>
    <cellWatch r="C11"/>
    <cellWatch r="J47"/>
    <cellWatch r="D58"/>
    <cellWatch r="D57"/>
    <cellWatch r="I45"/>
    <cellWatch r="G58"/>
    <cellWatch r="G57"/>
    <cellWatch r="G56"/>
    <cellWatch r="J4"/>
    <cellWatch r="G2"/>
    <cellWatch r="C55"/>
    <cellWatch r="I44"/>
    <cellWatch r="I46"/>
    <cellWatch r="C47"/>
    <cellWatch r="C57"/>
    <cellWatch r="V46"/>
    <cellWatch r="Q123"/>
    <cellWatch r="Q126"/>
    <cellWatch r="T42"/>
    <cellWatch r="T43"/>
    <cellWatch r="O118"/>
    <cellWatch r="M116"/>
    <cellWatch r="I75"/>
    <cellWatch r="X47"/>
    <cellWatch r="W13"/>
    <cellWatch r="W47"/>
    <cellWatch r="X54"/>
    <cellWatch r="I76"/>
    <cellWatch r="I141"/>
    <cellWatch r="I139"/>
    <cellWatch r="I147"/>
    <cellWatch r="K125"/>
    <cellWatch r="K130"/>
    <cellWatch r="K129"/>
    <cellWatch r="K128"/>
    <cellWatch r="K127"/>
    <cellWatch r="K126"/>
    <cellWatch r="K136"/>
    <cellWatch r="K135"/>
    <cellWatch r="K144"/>
    <cellWatch r="K143"/>
    <cellWatch r="K134"/>
    <cellWatch r="W60"/>
    <cellWatch r="I81"/>
    <cellWatch r="I82"/>
    <cellWatch r="X60"/>
    <cellWatch r="X61"/>
    <cellWatch r="W61"/>
    <cellWatch r="Y52"/>
    <cellWatch r="Y22"/>
    <cellWatch r="Y21"/>
    <cellWatch r="Y16"/>
    <cellWatch r="Y15"/>
    <cellWatch r="Y14"/>
    <cellWatch r="Y20"/>
    <cellWatch r="Z52"/>
    <cellWatch r="Z53"/>
    <cellWatch r="Y23"/>
    <cellWatch r="Y17"/>
    <cellWatch r="Y53"/>
    <cellWatch r="M40"/>
    <cellWatch r="J46"/>
    <cellWatch r="W28"/>
    <cellWatch r="K47"/>
    <cellWatch r="X85"/>
    <cellWatch r="I107"/>
    <cellWatch r="W48"/>
    <cellWatch r="I67"/>
    <cellWatch r="W85"/>
    <cellWatch r="I58"/>
    <cellWatch r="K58"/>
    <cellWatch r="K67"/>
    <cellWatch r="K57"/>
    <cellWatch r="I108"/>
    <cellWatch r="I47"/>
    <cellWatch r="I57"/>
    <cellWatch r="X79"/>
    <cellWatch r="I101"/>
    <cellWatch r="W79"/>
    <cellWatch r="J49"/>
    <cellWatch r="J48"/>
    <cellWatch r="J60"/>
    <cellWatch r="J69"/>
    <cellWatch r="J59"/>
    <cellWatch r="H107"/>
    <cellWatch r="V85"/>
    <cellWatch r="J57"/>
    <cellWatch r="H108"/>
    <cellWatch r="X86"/>
    <cellWatch r="I109"/>
    <cellWatch r="I155"/>
    <cellWatch r="I156"/>
    <cellWatch r="I154"/>
    <cellWatch r="I159"/>
    <cellWatch r="I158"/>
    <cellWatch r="Q156"/>
    <cellWatch r="Q159"/>
    <cellWatch r="I167"/>
    <cellWatch r="I166"/>
    <cellWatch r="I175"/>
    <cellWatch r="I174"/>
    <cellWatch r="M155"/>
    <cellWatch r="I177"/>
    <cellWatch r="I172"/>
    <cellWatch r="I180"/>
    <cellWatch r="I168"/>
    <cellWatch r="I176"/>
    <cellWatch r="K158"/>
    <cellWatch r="K163"/>
    <cellWatch r="K162"/>
    <cellWatch r="O154"/>
    <cellWatch r="K161"/>
    <cellWatch r="K160"/>
    <cellWatch r="K159"/>
    <cellWatch r="K169"/>
    <cellWatch r="K168"/>
    <cellWatch r="K177"/>
    <cellWatch r="K176"/>
    <cellWatch r="K167"/>
    <cellWatch r="W84"/>
    <cellWatch r="I106"/>
    <cellWatch r="X84"/>
    <cellWatch r="W93"/>
    <cellWatch r="I114"/>
    <cellWatch r="I115"/>
    <cellWatch r="X93"/>
    <cellWatch r="X94"/>
    <cellWatch r="W94"/>
    <cellWatch r="W59"/>
    <cellWatch r="V81"/>
    <cellWatch r="H103"/>
    <cellWatch r="H104"/>
    <cellWatch r="V76"/>
    <cellWatch r="D97"/>
    <cellWatch r="S76"/>
    <cellWatch r="J12"/>
    <cellWatch r="V82"/>
    <cellWatch r="S82"/>
    <cellWatch r="H105"/>
    <cellWatch r="C58"/>
    <cellWatch r="D103"/>
    <cellWatch r="R81"/>
    <cellWatch r="H57"/>
    <cellWatch r="D104"/>
    <cellWatch r="H150"/>
    <cellWatch r="K150"/>
    <cellWatch r="O152"/>
    <cellWatch r="O155"/>
    <cellWatch r="K151"/>
    <cellWatch r="H176"/>
    <cellWatch r="J151"/>
    <cellWatch r="M150"/>
    <cellWatch r="J157"/>
    <cellWatch r="J156"/>
    <cellWatch r="J155"/>
    <cellWatch r="J165"/>
    <cellWatch r="J164"/>
    <cellWatch r="J173"/>
    <cellWatch r="J172"/>
    <cellWatch r="J163"/>
    <cellWatch r="J79"/>
    <cellWatch r="J78"/>
    <cellWatch r="Y84"/>
    <cellWatch r="Y50"/>
    <cellWatch r="Y49"/>
    <cellWatch r="Y48"/>
    <cellWatch r="M50"/>
    <cellWatch r="M47"/>
    <cellWatch r="M61"/>
    <cellWatch r="M60"/>
    <cellWatch r="M69"/>
    <cellWatch r="M68"/>
    <cellWatch r="M59"/>
    <cellWatch r="M58"/>
    <cellWatch r="M67"/>
    <cellWatch r="M66"/>
    <cellWatch r="M57"/>
    <cellWatch r="Z84"/>
    <cellWatch r="M62"/>
    <cellWatch r="M70"/>
    <cellWatch r="Z85"/>
    <cellWatch r="Y51"/>
    <cellWatch r="Y47"/>
    <cellWatch r="Y85"/>
    <cellWatch r="M64"/>
    <cellWatch r="M63"/>
    <cellWatch r="M72"/>
    <cellWatch r="M71"/>
    <cellWatch r="X44"/>
    <cellWatch r="W44"/>
    <cellWatch r="X49"/>
    <cellWatch r="I120"/>
    <cellWatch r="Q120"/>
    <cellWatch r="I140"/>
    <cellWatch r="K133"/>
    <cellWatch r="K132"/>
    <cellWatch r="K141"/>
    <cellWatch r="K140"/>
    <cellWatch r="K131"/>
    <cellWatch r="W57"/>
    <cellWatch r="I78"/>
    <cellWatch r="I79"/>
    <cellWatch r="X57"/>
    <cellWatch r="X58"/>
    <cellWatch r="W58"/>
    <cellWatch r="Y19"/>
    <cellWatch r="Y18"/>
    <cellWatch r="Z49"/>
    <cellWatch r="Z50"/>
    <cellWatch r="W25"/>
    <cellWatch r="X45"/>
    <cellWatch r="W45"/>
    <cellWatch r="K142"/>
    <cellWatch r="I80"/>
    <cellWatch r="X59"/>
    <cellWatch r="Z51"/>
    <cellWatch r="W11"/>
    <cellWatch r="W8"/>
    <cellWatch r="W6"/>
    <cellWatch r="W5"/>
    <cellWatch r="W10"/>
    <cellWatch r="V11"/>
    <cellWatch r="V8"/>
    <cellWatch r="V6"/>
    <cellWatch r="V5"/>
    <cellWatch r="V10"/>
    <cellWatch r="W4"/>
    <cellWatch r="W9"/>
    <cellWatch r="X21"/>
    <cellWatch r="X19"/>
    <cellWatch r="X16"/>
    <cellWatch r="X15"/>
    <cellWatch r="X14"/>
    <cellWatch r="X18"/>
    <cellWatch r="S3"/>
    <cellWatch r="X22"/>
    <cellWatch r="X17"/>
    <cellWatch r="W12"/>
    <cellWatch r="X46"/>
    <cellWatch r="W46"/>
    <cellWatch r="V12"/>
    <cellWatch r="V41"/>
    <cellWatch r="S41"/>
    <cellWatch r="R4"/>
    <cellWatch r="R9"/>
    <cellWatch r="J117"/>
    <cellWatch r="J121"/>
    <cellWatch r="J131"/>
    <cellWatch r="J130"/>
    <cellWatch r="J139"/>
    <cellWatch r="J138"/>
    <cellWatch r="J129"/>
    <cellWatch r="J45"/>
    <cellWatch r="X20"/>
    <cellWatch r="H114"/>
    <cellWatch r="K114"/>
    <cellWatch r="O116"/>
    <cellWatch r="J115"/>
    <cellWatch r="M114"/>
    <cellWatch r="J119"/>
    <cellWatch r="J128"/>
    <cellWatch r="J137"/>
    <cellWatch r="J136"/>
    <cellWatch r="J127"/>
    <cellWatch r="J44"/>
    <cellWatch r="Y44"/>
    <cellWatch r="X13"/>
    <cellWatch r="R120"/>
    <cellWatch r="R123"/>
    <cellWatch r="P118"/>
    <cellWatch r="Y57"/>
    <cellWatch r="Y58"/>
    <cellWatch r="Z20"/>
    <cellWatch r="Z19"/>
    <cellWatch r="Z16"/>
    <cellWatch r="Z15"/>
    <cellWatch r="Z14"/>
    <cellWatch r="Z18"/>
    <cellWatch r="P2"/>
    <cellWatch r="AA49"/>
    <cellWatch r="AA50"/>
    <cellWatch r="Z21"/>
    <cellWatch r="Z17"/>
    <cellWatch r="X25"/>
    <cellWatch r="W27"/>
    <cellWatch r="V43"/>
    <cellWatch r="S43"/>
    <cellWatch r="Y46"/>
    <cellWatch r="X23"/>
    <cellWatch r="R122"/>
    <cellWatch r="R125"/>
    <cellWatch r="P120"/>
    <cellWatch r="Y59"/>
    <cellWatch r="Y60"/>
    <cellWatch r="Z22"/>
    <cellWatch r="P3"/>
    <cellWatch r="AA51"/>
    <cellWatch r="AA52"/>
    <cellWatch r="Z23"/>
    <cellWatch r="X27"/>
    <cellWatch r="F11"/>
    <cellWatch r="R43"/>
    <cellWatch r="N118"/>
    <cellWatch r="L116"/>
    <cellWatch r="L4"/>
  </cellWatches>
  <ignoredErrors>
    <ignoredError sqref="I1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887E5-48B6-C54E-B5ED-F460DF37BBEE}">
  <sheetPr codeName="Sheet9">
    <tabColor theme="3"/>
    <pageSetUpPr fitToPage="1"/>
  </sheetPr>
  <dimension ref="B1:P30"/>
  <sheetViews>
    <sheetView workbookViewId="0"/>
  </sheetViews>
  <sheetFormatPr defaultColWidth="11" defaultRowHeight="15.75"/>
  <cols>
    <col min="1" max="2" width="2.5" customWidth="1"/>
    <col min="3" max="3" width="28.375" customWidth="1"/>
    <col min="4" max="4" width="11.625" customWidth="1"/>
    <col min="5" max="5" width="5" customWidth="1"/>
    <col min="6" max="6" width="2.5" customWidth="1"/>
    <col min="9" max="9" width="11.625" customWidth="1"/>
    <col min="10" max="10" width="5" customWidth="1"/>
    <col min="11" max="11" width="18.375" customWidth="1"/>
    <col min="12" max="12" width="13.375" customWidth="1"/>
    <col min="14" max="14" width="15" customWidth="1"/>
    <col min="15" max="15" width="13.375" customWidth="1"/>
  </cols>
  <sheetData>
    <row r="1" spans="2:16" ht="27" thickBot="1">
      <c r="B1" s="213" t="str">
        <f>'Inputs &amp; Assumptions'!D4&amp;" – Preferred Equity Analysis"</f>
        <v>Madison Overland Park – Preferred Equity Analysis</v>
      </c>
      <c r="C1" s="94"/>
      <c r="D1" s="94"/>
      <c r="E1" s="95"/>
      <c r="F1" s="95"/>
      <c r="G1" s="95"/>
      <c r="H1" s="95"/>
      <c r="I1" s="95"/>
      <c r="J1" s="95"/>
      <c r="K1" s="95"/>
      <c r="L1" s="95"/>
      <c r="M1" s="95"/>
      <c r="N1" s="95"/>
      <c r="O1" s="95"/>
      <c r="P1" s="95"/>
    </row>
    <row r="2" spans="2:16" ht="15.95" customHeight="1">
      <c r="B2" s="247"/>
      <c r="C2" s="247"/>
      <c r="D2" s="247"/>
    </row>
    <row r="3" spans="2:16" ht="18.75">
      <c r="B3" s="1293" t="s">
        <v>165</v>
      </c>
      <c r="C3" s="1293"/>
      <c r="D3" s="1293"/>
      <c r="E3" s="25"/>
      <c r="F3" s="1293" t="s">
        <v>826</v>
      </c>
      <c r="G3" s="1293"/>
      <c r="H3" s="1293"/>
      <c r="I3" s="1293"/>
      <c r="K3" s="1293" t="s">
        <v>827</v>
      </c>
      <c r="L3" s="1293"/>
      <c r="M3" s="25"/>
      <c r="O3" s="25"/>
    </row>
    <row r="4" spans="2:16">
      <c r="B4" s="1305" t="s">
        <v>172</v>
      </c>
      <c r="C4" s="1305"/>
      <c r="D4" s="89">
        <f>'Inputs &amp; Assumptions'!D6</f>
        <v>44340000</v>
      </c>
      <c r="F4" t="s">
        <v>174</v>
      </c>
      <c r="I4" s="27">
        <f>'Cash Flows &amp; Summary'!$AA$6</f>
        <v>6.4535406276977889E-2</v>
      </c>
      <c r="K4" t="s">
        <v>828</v>
      </c>
      <c r="L4" s="12">
        <f>'Cash Flows &amp; Summary'!Q28</f>
        <v>12000000</v>
      </c>
    </row>
    <row r="5" spans="2:16">
      <c r="C5" t="s">
        <v>82</v>
      </c>
      <c r="D5" s="12">
        <f>D4/D15</f>
        <v>221700</v>
      </c>
      <c r="F5" t="s">
        <v>167</v>
      </c>
      <c r="I5" s="92">
        <f>'Inputs &amp; Assumptions'!S35</f>
        <v>0</v>
      </c>
      <c r="K5" t="s">
        <v>829</v>
      </c>
      <c r="L5" s="248" t="e">
        <f>(D7+L4)/D4</f>
        <v>#REF!</v>
      </c>
    </row>
    <row r="6" spans="2:16">
      <c r="C6" t="s">
        <v>180</v>
      </c>
      <c r="D6" s="24">
        <f>D4/D16</f>
        <v>156.07839824279802</v>
      </c>
      <c r="F6" t="s">
        <v>830</v>
      </c>
      <c r="I6" s="12">
        <f>'Cash Flows &amp; Summary'!AA50-'Cash Flows &amp; Summary'!Z50</f>
        <v>0</v>
      </c>
      <c r="K6" t="s">
        <v>831</v>
      </c>
      <c r="L6" s="248" t="e">
        <f>(D7+L4)/(D4+'Cash Flows &amp; Summary'!#REF!+'Cash Flows &amp; Summary'!#REF!)</f>
        <v>#REF!</v>
      </c>
    </row>
    <row r="7" spans="2:16">
      <c r="B7" s="43" t="s">
        <v>232</v>
      </c>
      <c r="C7" s="43"/>
      <c r="D7" s="89" t="e">
        <f>IF('Inputs &amp; Assumptions'!#REF!&lt;&gt;"No", 'Inputs &amp; Assumptions'!#REF!,  IF('Inputs &amp; Assumptions'!#REF!="Yes", 'Inputs &amp; Assumptions'!#REF!*('Inputs &amp; Assumptions'!D6+'Inputs &amp; Assumptions'!V38*'Inputs &amp; Assumptions'!V39+'Inputs &amp; Assumptions'!V40), 'Inputs &amp; Assumptions'!D6*'Inputs &amp; Assumptions'!#REF!))</f>
        <v>#REF!</v>
      </c>
      <c r="F7" s="62" t="s">
        <v>832</v>
      </c>
      <c r="G7" s="62"/>
      <c r="H7" s="62"/>
      <c r="I7" s="63">
        <f>I8+I9+I10</f>
        <v>2499500</v>
      </c>
      <c r="K7" t="s">
        <v>833</v>
      </c>
      <c r="L7" s="27">
        <f>'Inputs &amp; Assumptions'!V32</f>
        <v>0.06</v>
      </c>
    </row>
    <row r="8" spans="2:16">
      <c r="C8" t="s">
        <v>194</v>
      </c>
      <c r="D8" s="15" t="e">
        <f>D7/D4</f>
        <v>#REF!</v>
      </c>
      <c r="G8" t="s">
        <v>181</v>
      </c>
      <c r="I8" s="12">
        <f>'Inputs &amp; Assumptions'!$V$38*'Inputs &amp; Assumptions'!$V$39</f>
        <v>0</v>
      </c>
      <c r="K8" t="s">
        <v>834</v>
      </c>
      <c r="L8" s="27">
        <f>'Inputs &amp; Assumptions'!W28</f>
        <v>0</v>
      </c>
    </row>
    <row r="9" spans="2:16">
      <c r="C9" t="s">
        <v>835</v>
      </c>
      <c r="D9" s="15">
        <f>'Cash Flows &amp; Summary'!R11</f>
        <v>0.49284828155531646</v>
      </c>
      <c r="G9" t="s">
        <v>836</v>
      </c>
      <c r="I9" s="12">
        <f>'Inputs &amp; Assumptions'!$V$40</f>
        <v>1299500</v>
      </c>
      <c r="K9" t="s">
        <v>700</v>
      </c>
      <c r="L9" s="249">
        <f>'Inputs &amp; Assumptions'!V68</f>
        <v>5</v>
      </c>
    </row>
    <row r="10" spans="2:16">
      <c r="C10" t="s">
        <v>48</v>
      </c>
      <c r="D10" s="27">
        <f>'Cash Flows &amp; Summary'!R12</f>
        <v>3.9E-2</v>
      </c>
      <c r="G10" t="s">
        <v>837</v>
      </c>
      <c r="I10" s="12">
        <f>'Inputs &amp; Assumptions'!$V$8+'Inputs &amp; Assumptions'!$V$9</f>
        <v>1200000</v>
      </c>
      <c r="K10" t="s">
        <v>838</v>
      </c>
      <c r="L10" s="11" t="s">
        <v>839</v>
      </c>
    </row>
    <row r="11" spans="2:16">
      <c r="C11" t="s">
        <v>202</v>
      </c>
      <c r="D11" s="91">
        <f>'Cash Flows &amp; Summary'!R13</f>
        <v>0</v>
      </c>
      <c r="F11" s="43" t="s">
        <v>208</v>
      </c>
      <c r="G11" s="43"/>
      <c r="H11" s="43"/>
      <c r="I11" s="89">
        <f>'Cash Flows &amp; Summary'!V14</f>
        <v>70643191.166372836</v>
      </c>
    </row>
    <row r="12" spans="2:16" ht="18.75">
      <c r="B12" s="50" t="s">
        <v>840</v>
      </c>
      <c r="C12" s="50"/>
      <c r="D12" s="250" t="e">
        <f>'Cash Flows &amp; Summary'!#REF!</f>
        <v>#REF!</v>
      </c>
      <c r="E12" s="50"/>
      <c r="F12" s="50"/>
      <c r="G12" s="50" t="s">
        <v>82</v>
      </c>
      <c r="H12" s="50"/>
      <c r="I12" s="52">
        <f>I11/D15</f>
        <v>353215.95583186415</v>
      </c>
      <c r="J12" s="50"/>
      <c r="K12" s="1306" t="s">
        <v>228</v>
      </c>
      <c r="L12" s="1306"/>
      <c r="M12" s="1306"/>
      <c r="N12" s="1306"/>
      <c r="O12" s="1306"/>
      <c r="P12" s="1306"/>
    </row>
    <row r="13" spans="2:16">
      <c r="B13" t="s">
        <v>841</v>
      </c>
      <c r="D13" s="27" t="e">
        <f>'Cash Flows &amp; Summary'!#REF!</f>
        <v>#REF!</v>
      </c>
      <c r="G13" t="s">
        <v>180</v>
      </c>
      <c r="I13" s="24">
        <f>I11/D16</f>
        <v>248.6665792514039</v>
      </c>
      <c r="K13" s="192" t="s">
        <v>842</v>
      </c>
      <c r="L13" s="97" t="e">
        <f>L16-L15-L14</f>
        <v>#REF!</v>
      </c>
      <c r="M13" s="98" t="e">
        <f>L13/L16</f>
        <v>#REF!</v>
      </c>
      <c r="N13" s="240" t="s">
        <v>172</v>
      </c>
      <c r="O13" s="97">
        <f>D4</f>
        <v>44340000</v>
      </c>
      <c r="P13" s="98">
        <f>O13/O16</f>
        <v>0.91035318562329348</v>
      </c>
    </row>
    <row r="14" spans="2:16">
      <c r="B14" t="s">
        <v>843</v>
      </c>
      <c r="D14" s="15" t="e">
        <f>'Cash Flows &amp; Summary'!#REF!</f>
        <v>#REF!</v>
      </c>
      <c r="F14" s="43" t="s">
        <v>216</v>
      </c>
      <c r="K14" s="192" t="s">
        <v>844</v>
      </c>
      <c r="L14" s="97">
        <f>L4</f>
        <v>12000000</v>
      </c>
      <c r="M14" s="98">
        <f>L14/L16</f>
        <v>0.24637433981685886</v>
      </c>
      <c r="N14" s="240" t="s">
        <v>32</v>
      </c>
      <c r="O14" s="97">
        <f>D4*('Inputs &amp; Assumptions'!V5+'Inputs &amp; Assumptions'!V6+'Inputs &amp; Assumptions'!V7)</f>
        <v>1551900.0000000002</v>
      </c>
      <c r="P14" s="98">
        <f>O14/O16</f>
        <v>3.1862361496815275E-2</v>
      </c>
    </row>
    <row r="15" spans="2:16">
      <c r="B15" t="s">
        <v>207</v>
      </c>
      <c r="D15" s="26">
        <f>Unit_Count</f>
        <v>200</v>
      </c>
      <c r="G15" t="s">
        <v>218</v>
      </c>
      <c r="I15" s="93">
        <f>'Inputs &amp; Assumptions'!S43</f>
        <v>0</v>
      </c>
      <c r="K15" s="192" t="s">
        <v>232</v>
      </c>
      <c r="L15" s="97" t="e">
        <f>D7</f>
        <v>#REF!</v>
      </c>
      <c r="M15" s="98" t="e">
        <f>L15/L16</f>
        <v>#REF!</v>
      </c>
      <c r="N15" s="240" t="s">
        <v>832</v>
      </c>
      <c r="O15" s="97">
        <f>'Cash Flows &amp; Summary'!V7</f>
        <v>2814471</v>
      </c>
      <c r="P15" s="98">
        <f>O15/O16</f>
        <v>5.7784452879891215E-2</v>
      </c>
    </row>
    <row r="16" spans="2:16">
      <c r="B16" t="s">
        <v>213</v>
      </c>
      <c r="D16" s="23">
        <f>'Cash Flows &amp; Summary'!R16</f>
        <v>284088</v>
      </c>
      <c r="G16" t="s">
        <v>223</v>
      </c>
      <c r="I16" s="93">
        <f>'Inputs &amp; Assumptions'!S66</f>
        <v>0</v>
      </c>
      <c r="K16" s="239" t="s">
        <v>113</v>
      </c>
      <c r="L16" s="99">
        <f>O16</f>
        <v>48706371</v>
      </c>
      <c r="M16" s="100" t="e">
        <f>SUM(M13:M15)</f>
        <v>#REF!</v>
      </c>
      <c r="N16" s="238" t="s">
        <v>113</v>
      </c>
      <c r="O16" s="99">
        <f>SUM(O13:O15)</f>
        <v>48706371</v>
      </c>
      <c r="P16" s="100">
        <f>SUM(P13:P15)</f>
        <v>1</v>
      </c>
    </row>
    <row r="17" spans="2:16">
      <c r="B17" t="s">
        <v>845</v>
      </c>
      <c r="D17" s="11" t="e">
        <f>'Cash Flows &amp; Summary'!#REF!</f>
        <v>#REF!</v>
      </c>
      <c r="G17" t="s">
        <v>225</v>
      </c>
      <c r="I17" s="96" t="e">
        <f>'Inputs &amp; Assumptions'!#REF!</f>
        <v>#REF!</v>
      </c>
    </row>
    <row r="18" spans="2:16" ht="16.5" thickBot="1"/>
    <row r="19" spans="2:16" ht="21">
      <c r="B19" s="1293" t="s">
        <v>12</v>
      </c>
      <c r="C19" s="1293"/>
      <c r="D19" s="1293"/>
      <c r="E19" s="1293"/>
      <c r="F19" s="1293"/>
      <c r="G19" s="1293"/>
      <c r="H19" s="1293"/>
      <c r="I19" s="1293"/>
      <c r="J19" s="251"/>
      <c r="K19" s="1307" t="str">
        <f>"Refinance Exit Test (in " &amp; Sensitivities!U5 &amp; " months)"</f>
        <v>Refinance Exit Test (in  months)</v>
      </c>
      <c r="L19" s="1308"/>
      <c r="M19" s="1308"/>
      <c r="N19" s="1308"/>
      <c r="O19" s="1308"/>
      <c r="P19" s="1309"/>
    </row>
    <row r="20" spans="2:16" ht="15.95" customHeight="1">
      <c r="B20" s="252"/>
      <c r="C20" s="253"/>
      <c r="D20" s="257" t="s">
        <v>183</v>
      </c>
      <c r="E20" s="1310" t="s">
        <v>188</v>
      </c>
      <c r="F20" s="1310"/>
      <c r="G20" s="1310"/>
      <c r="H20" s="257" t="s">
        <v>192</v>
      </c>
      <c r="I20" s="257" t="s">
        <v>197</v>
      </c>
      <c r="J20" s="254"/>
      <c r="K20" s="186"/>
      <c r="L20" s="255" t="s">
        <v>464</v>
      </c>
      <c r="M20" s="255" t="s">
        <v>369</v>
      </c>
      <c r="N20" s="255" t="s">
        <v>846</v>
      </c>
      <c r="O20" s="255" t="s">
        <v>847</v>
      </c>
      <c r="P20" s="256" t="s">
        <v>619</v>
      </c>
    </row>
    <row r="21" spans="2:16">
      <c r="B21" t="s">
        <v>848</v>
      </c>
      <c r="D21" s="14" t="e">
        <f>'Pro Forma'!E16-'Pro Forma'!R32-'Pro Forma'!R43</f>
        <v>#REF!</v>
      </c>
      <c r="E21" s="1304">
        <f>'Pro Forma'!R36-'Pro Forma'!R43</f>
        <v>1272532.9706084528</v>
      </c>
      <c r="F21" s="1304"/>
      <c r="G21" s="1304"/>
      <c r="H21" s="14">
        <f>'Pro Forma'!AE36-'Pro Forma'!AE43</f>
        <v>1912865.1597996994</v>
      </c>
      <c r="I21" s="14">
        <f>'Pro Forma'!AR36-'Pro Forma'!AR43</f>
        <v>2630624.3946262891</v>
      </c>
      <c r="J21" s="14"/>
      <c r="K21" s="161" t="s">
        <v>117</v>
      </c>
      <c r="L21" s="12" t="e">
        <f>Sensitivities!#REF!</f>
        <v>#REF!</v>
      </c>
      <c r="M21" s="12" t="e">
        <f>L21</f>
        <v>#REF!</v>
      </c>
      <c r="N21" s="12">
        <f>Sensitivities!Q13</f>
        <v>0</v>
      </c>
      <c r="O21" s="12" t="e">
        <f>M21</f>
        <v>#REF!</v>
      </c>
      <c r="P21" s="242">
        <f>N21</f>
        <v>0</v>
      </c>
    </row>
    <row r="22" spans="2:16">
      <c r="B22" t="s">
        <v>849</v>
      </c>
      <c r="D22" s="12" t="e">
        <f>'Pro Forma'!#REF!</f>
        <v>#REF!</v>
      </c>
      <c r="E22" s="1262" t="e">
        <f>'Pro Forma'!#REF!</f>
        <v>#REF!</v>
      </c>
      <c r="F22" s="1262"/>
      <c r="G22" s="1262"/>
      <c r="H22" s="12" t="e">
        <f>'Pro Forma'!#REF!</f>
        <v>#REF!</v>
      </c>
      <c r="I22" s="12" t="e">
        <f>'Pro Forma'!#REF!</f>
        <v>#REF!</v>
      </c>
      <c r="J22" s="12"/>
      <c r="K22" s="187" t="s">
        <v>729</v>
      </c>
      <c r="L22" s="156" t="e">
        <f>Sensitivities!#REF!</f>
        <v>#REF!</v>
      </c>
      <c r="M22" s="156" t="e">
        <f>M21/'Inputs &amp; Assumptions'!#REF!</f>
        <v>#REF!</v>
      </c>
      <c r="N22" s="156" t="e">
        <f>N21/'Inputs &amp; Assumptions'!#REF!</f>
        <v>#REF!</v>
      </c>
      <c r="O22" s="156" t="e">
        <f>O21/Sensitivities!V9</f>
        <v>#REF!</v>
      </c>
      <c r="P22" s="243" t="e">
        <f>P21/Sensitivities!V9</f>
        <v>#DIV/0!</v>
      </c>
    </row>
    <row r="23" spans="2:16">
      <c r="C23" t="s">
        <v>850</v>
      </c>
      <c r="D23" s="36" t="e">
        <f>('Pro Forma'!E16-'Pro Forma'!R32)/('Pro Forma'!R43+'Pro Forma'!#REF!)</f>
        <v>#REF!</v>
      </c>
      <c r="E23" s="1311" t="e">
        <f>'Pro Forma'!R36/('Pro Forma'!R43+'Pro Forma'!#REF!)</f>
        <v>#REF!</v>
      </c>
      <c r="F23" s="1311"/>
      <c r="G23" s="1311"/>
      <c r="H23" s="36" t="e">
        <f>'Pro Forma'!AE36/('Pro Forma'!AE43+'Pro Forma'!#REF!)</f>
        <v>#REF!</v>
      </c>
      <c r="I23" s="36" t="e">
        <f>'Pro Forma'!AR36/('Pro Forma'!AR43+'Pro Forma'!#REF!)</f>
        <v>#REF!</v>
      </c>
      <c r="J23" s="36"/>
      <c r="K23" s="161" t="s">
        <v>851</v>
      </c>
      <c r="L23" s="12" t="e">
        <f>I28</f>
        <v>#REF!</v>
      </c>
      <c r="M23" s="12" t="e">
        <f>M21/'Inputs &amp; Assumptions'!#REF!*M24</f>
        <v>#REF!</v>
      </c>
      <c r="N23" s="12" t="e">
        <f>N21/'Inputs &amp; Assumptions'!#REF!*N24</f>
        <v>#REF!</v>
      </c>
      <c r="O23" s="12" t="e">
        <f>O22*O24</f>
        <v>#REF!</v>
      </c>
      <c r="P23" s="242" t="e">
        <f>P22*P24</f>
        <v>#DIV/0!</v>
      </c>
    </row>
    <row r="24" spans="2:16">
      <c r="C24" t="s">
        <v>852</v>
      </c>
      <c r="D24" s="36" t="e">
        <f>('Pro Forma'!E16-'Pro Forma'!R32)/('Pro Forma'!EE43+'Pro Forma'!#REF!)</f>
        <v>#REF!</v>
      </c>
      <c r="E24" s="1311" t="e">
        <f>'Pro Forma'!R36/('Pro Forma'!EE43+'Pro Forma'!#REF!)</f>
        <v>#REF!</v>
      </c>
      <c r="F24" s="1311"/>
      <c r="G24" s="1311"/>
      <c r="H24" s="36" t="e">
        <f>'Pro Forma'!AE36/('Pro Forma'!EE43+'Pro Forma'!#REF!)</f>
        <v>#REF!</v>
      </c>
      <c r="I24" s="36" t="e">
        <f>'Pro Forma'!AR36/('Pro Forma'!EE43+'Pro Forma'!#REF!)</f>
        <v>#REF!</v>
      </c>
      <c r="J24" s="36"/>
      <c r="K24" s="187" t="s">
        <v>72</v>
      </c>
      <c r="L24" s="176" t="e">
        <f>L23/L22</f>
        <v>#REF!</v>
      </c>
      <c r="M24" s="188">
        <f>'Inputs &amp; Assumptions'!V21</f>
        <v>0.65</v>
      </c>
      <c r="N24" s="245">
        <f>'Inputs &amp; Assumptions'!V21</f>
        <v>0.65</v>
      </c>
      <c r="O24" s="241">
        <f>'Inputs &amp; Assumptions'!V21-0.05</f>
        <v>0.6</v>
      </c>
      <c r="P24" s="244">
        <f>'Inputs &amp; Assumptions'!V21-0.05</f>
        <v>0.6</v>
      </c>
    </row>
    <row r="25" spans="2:16" ht="16.5" thickBot="1">
      <c r="C25" t="s">
        <v>853</v>
      </c>
      <c r="D25" s="248" t="e">
        <f>('Pro Forma'!R32+'Pro Forma'!R43+'Pro Forma'!#REF!)/('Pro Forma'!E16-'Pro Forma'!E13)</f>
        <v>#REF!</v>
      </c>
      <c r="E25" s="1303" t="e">
        <f>('Pro Forma'!R32+'Pro Forma'!R43+'Pro Forma'!#REF!)/('Pro Forma'!R16-'Pro Forma'!R13)</f>
        <v>#REF!</v>
      </c>
      <c r="F25" s="1303"/>
      <c r="G25" s="1303"/>
      <c r="H25" s="248" t="e">
        <f>('Pro Forma'!AE32+'Pro Forma'!AE43+'Pro Forma'!#REF!)/('Pro Forma'!AE16-'Pro Forma'!AE13)</f>
        <v>#REF!</v>
      </c>
      <c r="I25" s="248" t="e">
        <f>('Pro Forma'!AR32+'Pro Forma'!AR43+'Pro Forma'!#REF!)/('Pro Forma'!AR16-'Pro Forma'!AR13)</f>
        <v>#REF!</v>
      </c>
      <c r="J25" s="248"/>
      <c r="K25" s="185" t="s">
        <v>123</v>
      </c>
      <c r="L25" s="196">
        <f>Sensitivities!O16</f>
        <v>0</v>
      </c>
      <c r="M25" s="196" t="e">
        <f>M21/(PMT('Inputs &amp; Assumptions'!$V$22/12,'Inputs &amp; Assumptions'!$V$23*30,-M23)*12)</f>
        <v>#REF!</v>
      </c>
      <c r="N25" s="196" t="e">
        <f>N21/(PMT('Inputs &amp; Assumptions'!$V$22/12,'Inputs &amp; Assumptions'!$V$23*30,-N23)*12)</f>
        <v>#REF!</v>
      </c>
      <c r="O25" s="196" t="e">
        <f>O21/(PMT(Sensitivities!V8/12,'Inputs &amp; Assumptions'!$V$23*30,-O23)*12)</f>
        <v>#REF!</v>
      </c>
      <c r="P25" s="246" t="e">
        <f>P21/(PMT(Sensitivities!V8/12,'Inputs &amp; Assumptions'!$V$23*30,-P23)*12)</f>
        <v>#DIV/0!</v>
      </c>
    </row>
    <row r="26" spans="2:16">
      <c r="B26" t="s">
        <v>854</v>
      </c>
      <c r="D26" s="14" t="e">
        <f>D21-D22</f>
        <v>#REF!</v>
      </c>
      <c r="E26" s="1304" t="e">
        <f>E21-E22</f>
        <v>#REF!</v>
      </c>
      <c r="F26" s="1304"/>
      <c r="G26" s="1304"/>
      <c r="H26" s="14" t="e">
        <f>H21-H22</f>
        <v>#REF!</v>
      </c>
      <c r="I26" s="14" t="e">
        <f>I21-I22</f>
        <v>#REF!</v>
      </c>
      <c r="J26" s="1304"/>
      <c r="K26" s="1304"/>
      <c r="L26" s="14"/>
    </row>
    <row r="27" spans="2:16">
      <c r="B27" t="s">
        <v>855</v>
      </c>
      <c r="D27" s="12" t="e">
        <f>'Cash Flows &amp; Summary'!R6+'Cash Flows &amp; Summary'!#REF!+'Cash Flows &amp; Summary'!#REF!</f>
        <v>#REF!</v>
      </c>
      <c r="E27" s="1262" t="e">
        <f>'Cash Flows &amp; Summary'!R6+'Cash Flows &amp; Summary'!#REF!+'Cash Flows &amp; Summary'!#REF!</f>
        <v>#REF!</v>
      </c>
      <c r="F27" s="1262"/>
      <c r="G27" s="1262"/>
      <c r="H27" s="12">
        <f>'Pro Forma'!AE63</f>
        <v>53243812.70564568</v>
      </c>
      <c r="I27" s="12">
        <f>'Pro Forma'!AR63</f>
        <v>66587983.001576804</v>
      </c>
      <c r="J27" s="1262"/>
      <c r="K27" s="1262"/>
      <c r="L27" s="12"/>
    </row>
    <row r="28" spans="2:16">
      <c r="B28" t="s">
        <v>856</v>
      </c>
      <c r="D28" s="12">
        <f>'Cash Flows &amp; Summary'!R9+'Cash Flows &amp; Summary'!Q28</f>
        <v>35240000</v>
      </c>
      <c r="E28" s="1262" t="e">
        <f>'Pro Forma'!R46+'Pro Forma'!#REF!+'Inputs &amp; Assumptions'!W28*'Pro Forma'!#REF!</f>
        <v>#REF!</v>
      </c>
      <c r="F28" s="1262"/>
      <c r="G28" s="1262"/>
      <c r="H28" s="12" t="e">
        <f>'Pro Forma'!AE46+'Pro Forma'!#REF!+'Pro Forma'!#REF!*'Inputs &amp; Assumptions'!W28*2</f>
        <v>#REF!</v>
      </c>
      <c r="I28" s="12" t="e">
        <f>'Pro Forma'!AR46+'Pro Forma'!#REF!+'Pro Forma'!#REF!*'Inputs &amp; Assumptions'!W28*3</f>
        <v>#REF!</v>
      </c>
      <c r="J28" s="1262"/>
      <c r="K28" s="1262"/>
      <c r="L28" s="12"/>
    </row>
    <row r="29" spans="2:16">
      <c r="C29" t="s">
        <v>857</v>
      </c>
      <c r="D29" s="248" t="e">
        <f>D28/D27</f>
        <v>#REF!</v>
      </c>
      <c r="E29" s="1303" t="e">
        <f>E28/E27</f>
        <v>#REF!</v>
      </c>
      <c r="F29" s="1303"/>
      <c r="G29" s="1303"/>
      <c r="H29" s="248" t="e">
        <f>H28/H27</f>
        <v>#REF!</v>
      </c>
      <c r="I29" s="248" t="e">
        <f>I28/I27</f>
        <v>#REF!</v>
      </c>
      <c r="J29" s="1303"/>
      <c r="K29" s="1303"/>
      <c r="L29" s="248"/>
    </row>
    <row r="30" spans="2:16">
      <c r="B30" t="s">
        <v>858</v>
      </c>
      <c r="D30" s="29" t="e">
        <f>('Pro Forma'!E16-'Pro Forma'!R32)/'Preferred Equity'!D28</f>
        <v>#REF!</v>
      </c>
      <c r="E30" s="1302" t="e">
        <f>'Pro Forma'!R36/'Preferred Equity'!E28</f>
        <v>#REF!</v>
      </c>
      <c r="F30" s="1302"/>
      <c r="G30" s="1302"/>
      <c r="H30" s="29" t="e">
        <f>'Pro Forma'!AE36/'Preferred Equity'!H28</f>
        <v>#REF!</v>
      </c>
      <c r="I30" s="29" t="e">
        <f>'Pro Forma'!AR36/'Preferred Equity'!I28</f>
        <v>#REF!</v>
      </c>
    </row>
  </sheetData>
  <mergeCells count="22">
    <mergeCell ref="E25:G25"/>
    <mergeCell ref="B3:D3"/>
    <mergeCell ref="F3:I3"/>
    <mergeCell ref="K3:L3"/>
    <mergeCell ref="B4:C4"/>
    <mergeCell ref="K12:P12"/>
    <mergeCell ref="B19:I19"/>
    <mergeCell ref="K19:P19"/>
    <mergeCell ref="E20:G20"/>
    <mergeCell ref="E21:G21"/>
    <mergeCell ref="E22:G22"/>
    <mergeCell ref="E23:G23"/>
    <mergeCell ref="E24:G24"/>
    <mergeCell ref="E30:G30"/>
    <mergeCell ref="E29:G29"/>
    <mergeCell ref="J29:K29"/>
    <mergeCell ref="E26:G26"/>
    <mergeCell ref="J26:K26"/>
    <mergeCell ref="E27:G27"/>
    <mergeCell ref="J27:K27"/>
    <mergeCell ref="E28:G28"/>
    <mergeCell ref="J28:K28"/>
  </mergeCells>
  <conditionalFormatting sqref="M23:P23">
    <cfRule type="cellIs" dxfId="1" priority="2" operator="lessThan">
      <formula>$I$4</formula>
    </cfRule>
  </conditionalFormatting>
  <conditionalFormatting sqref="M25:P25">
    <cfRule type="cellIs" dxfId="0" priority="1" operator="lessThan">
      <formula>$E$68</formula>
    </cfRule>
  </conditionalFormatting>
  <pageMargins left="0.7" right="0.7" top="0.75" bottom="0.75" header="0.3" footer="0.3"/>
  <pageSetup scale="66"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726C3-B9C7-4D60-B635-6177084D9DCC}">
  <sheetPr>
    <tabColor theme="4" tint="-0.499984740745262"/>
  </sheetPr>
  <dimension ref="C3:I4"/>
  <sheetViews>
    <sheetView showGridLines="0" workbookViewId="0">
      <selection activeCell="C5" sqref="C5"/>
    </sheetView>
  </sheetViews>
  <sheetFormatPr defaultRowHeight="15.75"/>
  <cols>
    <col min="3" max="3" width="14.75" bestFit="1" customWidth="1"/>
    <col min="4" max="4" width="14.875" bestFit="1" customWidth="1"/>
    <col min="5" max="5" width="13.75" bestFit="1" customWidth="1"/>
    <col min="7" max="7" width="12.125" bestFit="1" customWidth="1"/>
    <col min="8" max="8" width="10" bestFit="1" customWidth="1"/>
    <col min="9" max="9" width="12.125" bestFit="1" customWidth="1"/>
  </cols>
  <sheetData>
    <row r="3" spans="3:9">
      <c r="C3" s="1068" t="s">
        <v>157</v>
      </c>
      <c r="D3" s="1068" t="s">
        <v>158</v>
      </c>
      <c r="E3" s="1068" t="s">
        <v>159</v>
      </c>
      <c r="F3" s="1068" t="s">
        <v>160</v>
      </c>
      <c r="G3" s="1068" t="s">
        <v>161</v>
      </c>
      <c r="H3" s="1068" t="s">
        <v>162</v>
      </c>
      <c r="I3" s="1068" t="s">
        <v>163</v>
      </c>
    </row>
    <row r="4" spans="3:9">
      <c r="C4" s="1069">
        <f>'Inputs &amp; Assumptions'!D7</f>
        <v>44340000</v>
      </c>
      <c r="D4" s="27">
        <v>0.115</v>
      </c>
      <c r="E4" s="1070">
        <f>C4*D4</f>
        <v>5099100</v>
      </c>
      <c r="F4" s="27">
        <v>0.1071</v>
      </c>
      <c r="G4" s="1070">
        <f>E4*F4</f>
        <v>546113.61</v>
      </c>
      <c r="H4" s="1071">
        <v>7272</v>
      </c>
      <c r="I4" s="1070">
        <f>SUM(G4:H4)</f>
        <v>553385.61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5CE9F-3571-43E9-9D81-E6552C9D720F}">
  <sheetPr>
    <tabColor theme="4" tint="-0.499984740745262"/>
  </sheetPr>
  <dimension ref="B1:AR56"/>
  <sheetViews>
    <sheetView showGridLines="0" tabSelected="1" zoomScale="80" zoomScaleNormal="80" workbookViewId="0">
      <pane xSplit="1" ySplit="1" topLeftCell="C2" activePane="bottomRight" state="frozen"/>
      <selection pane="topRight" activeCell="Y15" sqref="Y15"/>
      <selection pane="bottomLeft" activeCell="Y15" sqref="Y15"/>
      <selection pane="bottomRight" activeCell="U43" sqref="U43"/>
    </sheetView>
  </sheetViews>
  <sheetFormatPr defaultRowHeight="15.75"/>
  <cols>
    <col min="1" max="1" width="1.75" customWidth="1"/>
    <col min="2" max="2" width="21.375" bestFit="1" customWidth="1"/>
    <col min="3" max="3" width="22.5" customWidth="1"/>
    <col min="4" max="4" width="14.875" bestFit="1" customWidth="1"/>
    <col min="5" max="5" width="14.875" customWidth="1"/>
    <col min="6" max="8" width="14.875" bestFit="1" customWidth="1"/>
    <col min="9" max="9" width="14.875" hidden="1" customWidth="1"/>
    <col min="10" max="13" width="15.25" hidden="1" customWidth="1"/>
    <col min="14" max="14" width="1.625" customWidth="1"/>
    <col min="15" max="15" width="5.375" customWidth="1"/>
    <col min="16" max="16" width="8" customWidth="1"/>
    <col min="17" max="17" width="14.875" bestFit="1" customWidth="1"/>
    <col min="18" max="18" width="14.625" customWidth="1"/>
    <col min="19" max="19" width="1.625" customWidth="1"/>
    <col min="20" max="20" width="19.625" bestFit="1" customWidth="1"/>
    <col min="21" max="21" width="14.875" bestFit="1" customWidth="1"/>
    <col min="22" max="22" width="13" bestFit="1" customWidth="1"/>
    <col min="23" max="23" width="1.625" customWidth="1"/>
    <col min="24" max="24" width="14.375" customWidth="1"/>
    <col min="26" max="26" width="10.125" bestFit="1" customWidth="1"/>
    <col min="27" max="27" width="14.875" bestFit="1" customWidth="1"/>
    <col min="29" max="30" width="10.5" customWidth="1"/>
    <col min="31" max="31" width="2.125" customWidth="1"/>
    <col min="34" max="34" width="2.375" customWidth="1"/>
    <col min="35" max="35" width="13.375" bestFit="1" customWidth="1"/>
    <col min="39" max="40" width="11.375" bestFit="1" customWidth="1"/>
    <col min="45" max="45" width="10.75" bestFit="1" customWidth="1"/>
    <col min="46" max="46" width="11.375" bestFit="1" customWidth="1"/>
    <col min="47" max="47" width="9" customWidth="1"/>
  </cols>
  <sheetData>
    <row r="1" spans="2:44" s="349" customFormat="1" ht="39.75" customHeight="1" thickBot="1">
      <c r="B1" s="348" t="str">
        <f>'Inputs &amp; Assumptions'!D4&amp;" – Cash Flow Summary"</f>
        <v>Madison Overland Park – Cash Flow Summary</v>
      </c>
    </row>
    <row r="2" spans="2:44" ht="16.5" thickBot="1">
      <c r="AF2" s="366"/>
      <c r="AG2" s="298"/>
    </row>
    <row r="3" spans="2:44" ht="18.75">
      <c r="B3" s="715" t="s">
        <v>164</v>
      </c>
      <c r="C3" s="716"/>
      <c r="D3" s="716"/>
      <c r="E3" s="716"/>
      <c r="F3" s="716"/>
      <c r="G3" s="716"/>
      <c r="H3" s="717"/>
      <c r="I3" s="337"/>
      <c r="J3" s="337"/>
      <c r="K3" s="337"/>
      <c r="L3" s="337"/>
      <c r="M3" s="337"/>
      <c r="O3" s="1255" t="s">
        <v>165</v>
      </c>
      <c r="P3" s="1256"/>
      <c r="Q3" s="1256"/>
      <c r="R3" s="1256"/>
      <c r="S3" s="1256"/>
      <c r="T3" s="1256"/>
      <c r="U3" s="1256"/>
      <c r="V3" s="1257"/>
      <c r="X3" s="715" t="s">
        <v>166</v>
      </c>
      <c r="Y3" s="716"/>
      <c r="Z3" s="716"/>
      <c r="AA3" s="716"/>
      <c r="AB3" s="716"/>
      <c r="AC3" s="716"/>
      <c r="AD3" s="717"/>
      <c r="AG3" s="9"/>
      <c r="AK3" s="359"/>
    </row>
    <row r="4" spans="2:44">
      <c r="B4" s="774"/>
      <c r="C4" s="239">
        <v>0</v>
      </c>
      <c r="D4" s="239">
        <v>1</v>
      </c>
      <c r="E4" s="239">
        <v>2</v>
      </c>
      <c r="F4" s="239">
        <v>3</v>
      </c>
      <c r="G4" s="239">
        <v>4</v>
      </c>
      <c r="H4" s="775">
        <v>5</v>
      </c>
      <c r="I4" s="239">
        <v>6</v>
      </c>
      <c r="J4" s="239">
        <v>7</v>
      </c>
      <c r="K4" s="239">
        <v>8</v>
      </c>
      <c r="L4" s="239">
        <v>9</v>
      </c>
      <c r="M4" s="239">
        <v>10</v>
      </c>
      <c r="O4" s="161" t="str">
        <f>IF('Inputs &amp; Assumptions'!D12="","",'Inputs &amp; Assumptions'!D12)</f>
        <v>13900 NEWTON STREET, OVERLAND PARK, KS</v>
      </c>
      <c r="T4" t="s">
        <v>167</v>
      </c>
      <c r="V4" s="796">
        <f>'Inputs &amp; Assumptions'!V37</f>
        <v>18</v>
      </c>
      <c r="X4" s="161" t="s">
        <v>168</v>
      </c>
      <c r="AA4" s="12">
        <f>Q29</f>
        <v>15820218.099999998</v>
      </c>
      <c r="AB4" s="326" t="s">
        <v>169</v>
      </c>
      <c r="AC4" s="62"/>
      <c r="AD4" s="805">
        <v>100000</v>
      </c>
      <c r="AG4" s="31"/>
      <c r="AK4" s="359"/>
      <c r="AL4" s="31"/>
      <c r="AM4" s="31"/>
      <c r="AR4" s="31"/>
    </row>
    <row r="5" spans="2:44">
      <c r="B5" s="776" t="s">
        <v>170</v>
      </c>
      <c r="C5" s="777"/>
      <c r="D5" s="777"/>
      <c r="E5" s="777"/>
      <c r="F5" s="778">
        <f>F6/E6-1</f>
        <v>3.0000000000000249E-2</v>
      </c>
      <c r="G5" s="778">
        <f>G6/F6-1</f>
        <v>3.0000000000000249E-2</v>
      </c>
      <c r="H5" s="779">
        <f>H6/G6-1</f>
        <v>2.9999999999999805E-2</v>
      </c>
      <c r="I5" s="334">
        <v>0.03</v>
      </c>
      <c r="J5" s="334">
        <v>0.03</v>
      </c>
      <c r="K5" s="334">
        <v>0.03</v>
      </c>
      <c r="L5" s="334">
        <v>0.03</v>
      </c>
      <c r="M5" s="334"/>
      <c r="O5" s="161"/>
      <c r="V5" s="796"/>
      <c r="X5" s="161"/>
      <c r="AA5" s="12"/>
      <c r="AB5" s="326"/>
      <c r="AC5" s="62"/>
      <c r="AD5" s="805"/>
      <c r="AG5" s="31"/>
      <c r="AK5" s="359"/>
      <c r="AL5" s="31"/>
      <c r="AM5" s="31"/>
      <c r="AN5" s="31"/>
      <c r="AO5" s="31"/>
      <c r="AP5" s="31"/>
      <c r="AQ5" s="31"/>
      <c r="AR5" s="31"/>
    </row>
    <row r="6" spans="2:44">
      <c r="B6" s="780" t="s">
        <v>171</v>
      </c>
      <c r="D6" s="781">
        <f>SUM('Pro Forma'!$R$6)</f>
        <v>5027520</v>
      </c>
      <c r="E6" s="781">
        <f>SUM('Pro Forma'!$AE$6)</f>
        <v>5178345.5999999987</v>
      </c>
      <c r="F6" s="781">
        <f>SUM('Pro Forma'!$AR$6)</f>
        <v>5333695.9679999994</v>
      </c>
      <c r="G6" s="781">
        <f>SUM('Pro Forma'!$BE$6)</f>
        <v>5493706.8470400013</v>
      </c>
      <c r="H6" s="782">
        <f>SUM('Pro Forma'!$BR$6)</f>
        <v>5658518.0524512008</v>
      </c>
      <c r="I6" s="299">
        <f>SUM('Pro Forma'!$CE$6)</f>
        <v>5828273.5940247355</v>
      </c>
      <c r="J6" s="299">
        <f>SUM('Pro Forma'!$CR$6)</f>
        <v>6003121.801845477</v>
      </c>
      <c r="K6" s="299">
        <f>SUM('Pro Forma'!$DE$6)</f>
        <v>6183215.4559008442</v>
      </c>
      <c r="L6" s="299">
        <f>SUM('Pro Forma'!$DR$6)</f>
        <v>6368711.9195778659</v>
      </c>
      <c r="M6" s="299">
        <f>'Pro Forma'!EE6</f>
        <v>6559773.2771652052</v>
      </c>
      <c r="O6" s="724" t="s">
        <v>172</v>
      </c>
      <c r="P6" s="43"/>
      <c r="Q6" s="43"/>
      <c r="R6" s="89">
        <f>'Inputs &amp; Assumptions'!D6</f>
        <v>44340000</v>
      </c>
      <c r="T6" t="s">
        <v>173</v>
      </c>
      <c r="V6" s="797">
        <f>'Inputs &amp; Assumptions'!V68</f>
        <v>5</v>
      </c>
      <c r="X6" s="161" t="s">
        <v>174</v>
      </c>
      <c r="AA6" s="27">
        <f>'Inputs &amp; Assumptions'!$F$44</f>
        <v>6.4535406276977889E-2</v>
      </c>
      <c r="AB6" s="39"/>
      <c r="AC6" s="62"/>
      <c r="AD6" s="806"/>
      <c r="AG6" s="31"/>
      <c r="AK6" s="359"/>
    </row>
    <row r="7" spans="2:44">
      <c r="B7" s="783" t="s">
        <v>67</v>
      </c>
      <c r="D7" s="781">
        <f>SUM('Pro Forma'!$R$7:$R$8)</f>
        <v>420542.44</v>
      </c>
      <c r="E7" s="781">
        <f>SUM('Pro Forma'!$AE$7:$AE$8)</f>
        <v>433158.71320000006</v>
      </c>
      <c r="F7" s="781">
        <f>SUM('Pro Forma'!$AR$7:$AR$8)</f>
        <v>446153.47459599993</v>
      </c>
      <c r="G7" s="781">
        <f>SUM('Pro Forma'!$BE$7:$BE$8)</f>
        <v>459538.07883388002</v>
      </c>
      <c r="H7" s="782">
        <f>SUM('Pro Forma'!$BR$7:$BR$8)</f>
        <v>473324.22119889647</v>
      </c>
      <c r="I7" s="299">
        <f>SUM('Pro Forma'!$CE$7:$CE$8)</f>
        <v>487523.94783486344</v>
      </c>
      <c r="J7" s="299">
        <f>SUM('Pro Forma'!$CR$7:$CR$8)</f>
        <v>502149.66626990936</v>
      </c>
      <c r="K7" s="299">
        <f>SUM('Pro Forma'!$DE$7:$DE$8)</f>
        <v>517214.1562580067</v>
      </c>
      <c r="L7" s="299">
        <f>SUM('Pro Forma'!$DR$7:$DR$8)</f>
        <v>532730.58094574686</v>
      </c>
      <c r="M7" s="299">
        <f>SUM('Pro Forma'!EE7:EE8)</f>
        <v>548712.49837411917</v>
      </c>
      <c r="O7" s="161"/>
      <c r="P7" t="s">
        <v>82</v>
      </c>
      <c r="R7" s="12">
        <f>R6/R14</f>
        <v>221700</v>
      </c>
      <c r="T7" s="62" t="s">
        <v>175</v>
      </c>
      <c r="U7" s="62"/>
      <c r="V7" s="798">
        <f>'Inputs &amp; Assumptions'!V39*'Inputs &amp; Assumptions'!H4+'Inputs &amp; Assumptions'!V40+'Inputs &amp; Assumptions'!V41</f>
        <v>2814471</v>
      </c>
      <c r="X7" s="161" t="s">
        <v>176</v>
      </c>
      <c r="AA7" s="18">
        <f>Waterfall!E17</f>
        <v>0.11505148614082539</v>
      </c>
      <c r="AB7" s="322"/>
      <c r="AC7" s="335" t="s">
        <v>177</v>
      </c>
      <c r="AD7" s="807" t="s">
        <v>178</v>
      </c>
      <c r="AG7" s="31"/>
    </row>
    <row r="8" spans="2:44">
      <c r="B8" s="784" t="s">
        <v>179</v>
      </c>
      <c r="D8" s="781">
        <f>SUM(D6:D7)</f>
        <v>5448062.4400000004</v>
      </c>
      <c r="E8" s="781">
        <f t="shared" ref="E8:L8" si="0">SUM(E6:E7)</f>
        <v>5611504.3131999988</v>
      </c>
      <c r="F8" s="781">
        <f>SUM(F6:F7)</f>
        <v>5779849.4425959997</v>
      </c>
      <c r="G8" s="781">
        <f t="shared" si="0"/>
        <v>5953244.9258738812</v>
      </c>
      <c r="H8" s="782">
        <f t="shared" si="0"/>
        <v>6131842.2736500977</v>
      </c>
      <c r="I8" s="299">
        <f t="shared" si="0"/>
        <v>6315797.5418595988</v>
      </c>
      <c r="J8" s="299">
        <f t="shared" si="0"/>
        <v>6505271.4681153866</v>
      </c>
      <c r="K8" s="299">
        <f t="shared" si="0"/>
        <v>6700429.6121588508</v>
      </c>
      <c r="L8" s="299">
        <f t="shared" si="0"/>
        <v>6901442.5005236128</v>
      </c>
      <c r="M8" s="299">
        <f>SUM(M6:M7)</f>
        <v>7108485.7755393246</v>
      </c>
      <c r="O8" s="161"/>
      <c r="P8" t="s">
        <v>180</v>
      </c>
      <c r="R8" s="237">
        <f>R6/R16</f>
        <v>156.07839824279802</v>
      </c>
      <c r="T8" t="s">
        <v>181</v>
      </c>
      <c r="V8" s="727">
        <f>'Inputs &amp; Assumptions'!V39*'Inputs &amp; Assumptions'!H4</f>
        <v>1259110</v>
      </c>
      <c r="X8" s="161" t="s">
        <v>182</v>
      </c>
      <c r="AA8" s="101">
        <f>Waterfall!D46</f>
        <v>0.18646569049311901</v>
      </c>
      <c r="AB8" s="323" t="s">
        <v>183</v>
      </c>
      <c r="AC8" s="98">
        <f t="shared" ref="AC8:AC18" si="1">AD8/$AD$4</f>
        <v>-1</v>
      </c>
      <c r="AD8" s="808">
        <f>($AD$4/($Q$29))*Waterfall!$E$84</f>
        <v>-100000</v>
      </c>
      <c r="AG8" s="368"/>
    </row>
    <row r="9" spans="2:44">
      <c r="B9" s="785" t="s">
        <v>184</v>
      </c>
      <c r="D9" s="781">
        <f>SUM('Pro Forma'!$R$12:$R$15)</f>
        <v>-1555421.8266200002</v>
      </c>
      <c r="E9" s="781">
        <f>SUM('Pro Forma'!$AE$12:$AE$15)</f>
        <v>-984819.00696660019</v>
      </c>
      <c r="F9" s="781">
        <f>SUM('Pro Forma'!$AR$12:$AR$15)</f>
        <v>-378580.13849003805</v>
      </c>
      <c r="G9" s="781">
        <f>SUM('Pro Forma'!$BE$12:$BE$15)</f>
        <v>-389937.54264473915</v>
      </c>
      <c r="H9" s="782">
        <f>SUM('Pro Forma'!$BR$12:$BR$15)</f>
        <v>-401635.66892408143</v>
      </c>
      <c r="I9" s="299">
        <f>SUM('Pro Forma'!$CE$12:$CE$15)</f>
        <v>-413684.73899180372</v>
      </c>
      <c r="J9" s="299">
        <f>SUM('Pro Forma'!$CR$12:$CR$15)</f>
        <v>-426095.28116155794</v>
      </c>
      <c r="K9" s="299">
        <f>SUM('Pro Forma'!$DE$12:$DE$15)</f>
        <v>-438878.13959640462</v>
      </c>
      <c r="L9" s="299">
        <f>SUM('Pro Forma'!$DR$12:$DR$15)</f>
        <v>-452044.48378429667</v>
      </c>
      <c r="M9" s="299">
        <f>SUM('Pro Forma'!EE12:EE15)</f>
        <v>-465605.81829782564</v>
      </c>
      <c r="O9" s="724" t="s">
        <v>185</v>
      </c>
      <c r="P9" s="43"/>
      <c r="Q9" s="43"/>
      <c r="R9" s="89">
        <f>R6*'Inputs &amp; Assumptions'!V16</f>
        <v>23240000.000000004</v>
      </c>
      <c r="T9" t="s">
        <v>186</v>
      </c>
      <c r="V9" s="727">
        <f>V8/R15</f>
        <v>14308.068181818182</v>
      </c>
      <c r="X9" s="724" t="s">
        <v>187</v>
      </c>
      <c r="AB9" s="323" t="s">
        <v>188</v>
      </c>
      <c r="AC9" s="98">
        <f t="shared" si="1"/>
        <v>0</v>
      </c>
      <c r="AD9" s="808">
        <f>($AD$4/($Q$29)*Waterfall!$F$84)</f>
        <v>0</v>
      </c>
      <c r="AG9" s="31"/>
    </row>
    <row r="10" spans="2:44">
      <c r="B10" s="786" t="s">
        <v>189</v>
      </c>
      <c r="D10" s="781">
        <f>SUM(D8:D9)</f>
        <v>3892640.61338</v>
      </c>
      <c r="E10" s="781">
        <f>SUM(E8:E9)</f>
        <v>4626685.3062333986</v>
      </c>
      <c r="F10" s="781">
        <f t="shared" ref="F10:L10" si="2">SUM(F8:F9)</f>
        <v>5401269.3041059617</v>
      </c>
      <c r="G10" s="781">
        <f t="shared" si="2"/>
        <v>5563307.3832291421</v>
      </c>
      <c r="H10" s="782">
        <f t="shared" si="2"/>
        <v>5730206.6047260165</v>
      </c>
      <c r="I10" s="299">
        <f t="shared" si="2"/>
        <v>5902112.8028677953</v>
      </c>
      <c r="J10" s="299">
        <f t="shared" si="2"/>
        <v>6079176.1869538287</v>
      </c>
      <c r="K10" s="299">
        <f t="shared" si="2"/>
        <v>6261551.4725624463</v>
      </c>
      <c r="L10" s="299">
        <f t="shared" si="2"/>
        <v>6449398.0167393163</v>
      </c>
      <c r="M10" s="299">
        <f>SUM(M8:M9)</f>
        <v>6642879.9572414989</v>
      </c>
      <c r="O10" s="161"/>
      <c r="P10" t="s">
        <v>190</v>
      </c>
      <c r="R10" s="18">
        <f>R9/U39</f>
        <v>0.45514885883340955</v>
      </c>
      <c r="T10" t="s">
        <v>112</v>
      </c>
      <c r="V10" s="242">
        <f>'Inputs &amp; Assumptions'!V40</f>
        <v>1299500</v>
      </c>
      <c r="X10" s="728" t="s">
        <v>191</v>
      </c>
      <c r="AA10" s="18">
        <f>Waterfall!D84</f>
        <v>0.15883758134287662</v>
      </c>
      <c r="AB10" s="323" t="s">
        <v>192</v>
      </c>
      <c r="AC10" s="98">
        <f t="shared" si="1"/>
        <v>6.2046104085879969E-3</v>
      </c>
      <c r="AD10" s="808">
        <f>($AD$4/($Q$29))*Waterfall!$G$84</f>
        <v>620.46104085879972</v>
      </c>
      <c r="AG10" s="31"/>
    </row>
    <row r="11" spans="2:44">
      <c r="B11" s="780" t="s">
        <v>193</v>
      </c>
      <c r="D11" s="781">
        <f>'Pro Forma'!$R$32-'Pro Forma'!$R$28-'Pro Forma'!$R$30</f>
        <v>1593286.0000000002</v>
      </c>
      <c r="E11" s="781">
        <f>'Pro Forma'!$AE$32-'Pro Forma'!$AE$28-'Pro Forma'!$AE$30</f>
        <v>1641084.5799999998</v>
      </c>
      <c r="F11" s="781">
        <f>'Pro Forma'!$AR$32-'Pro Forma'!$AR$28-'Pro Forma'!$AR$30</f>
        <v>1690317.1174000003</v>
      </c>
      <c r="G11" s="781">
        <f>'Pro Forma'!$BE$32-'Pro Forma'!$BE$28-'Pro Forma'!$BE$30</f>
        <v>1741026.6309219997</v>
      </c>
      <c r="H11" s="782">
        <f>'Pro Forma'!$BR$32-'Pro Forma'!$BR$28-'Pro Forma'!$BR$30</f>
        <v>1793257.4298496607</v>
      </c>
      <c r="I11" s="299">
        <f>'Pro Forma'!$CE$32-'Pro Forma'!$CE$28-'Pro Forma'!$CE$30</f>
        <v>1847055.1527451498</v>
      </c>
      <c r="J11" s="299">
        <f>'Pro Forma'!$CR$32-'Pro Forma'!$CR$28-'Pro Forma'!$CR$30</f>
        <v>1902466.8073275047</v>
      </c>
      <c r="K11" s="299">
        <f>'Pro Forma'!$DE$32-'Pro Forma'!$DE$28-'Pro Forma'!$DE$30</f>
        <v>1959540.8115473301</v>
      </c>
      <c r="L11" s="299">
        <f>'Pro Forma'!$DR$32-'Pro Forma'!$DR$28-'Pro Forma'!$DR$30</f>
        <v>2018327.0358937499</v>
      </c>
      <c r="M11" s="299">
        <f>SUM('Pro Forma'!EE19:EE31)-'Pro Forma'!EE28-'Pro Forma'!EE30</f>
        <v>2078876.8469705619</v>
      </c>
      <c r="O11" s="161"/>
      <c r="P11" t="s">
        <v>194</v>
      </c>
      <c r="R11" s="18">
        <f>R9/SUM(U27,U29)</f>
        <v>0.49284828155531646</v>
      </c>
      <c r="T11" s="799" t="s">
        <v>195</v>
      </c>
      <c r="V11" s="242">
        <f>V7/Unit_Count</f>
        <v>14072.355</v>
      </c>
      <c r="X11" s="728" t="s">
        <v>196</v>
      </c>
      <c r="AA11" s="101">
        <v>0.04</v>
      </c>
      <c r="AB11" s="323" t="s">
        <v>197</v>
      </c>
      <c r="AC11" s="98">
        <f t="shared" si="1"/>
        <v>0.14639411605860789</v>
      </c>
      <c r="AD11" s="808">
        <f>($AD$4/($Q$29))*Waterfall!$H$84</f>
        <v>14639.411605860789</v>
      </c>
    </row>
    <row r="12" spans="2:44">
      <c r="B12" s="787" t="s">
        <v>198</v>
      </c>
      <c r="D12" s="781">
        <f>'Pro Forma'!$R$28</f>
        <v>77852.81226760002</v>
      </c>
      <c r="E12" s="781">
        <f>'Pro Forma'!$AE$28</f>
        <v>138800.55918700199</v>
      </c>
      <c r="F12" s="781">
        <f>'Pro Forma'!$AR$28</f>
        <v>162038.07912317885</v>
      </c>
      <c r="G12" s="781">
        <f>'Pro Forma'!$BE$28</f>
        <v>166899.22149687423</v>
      </c>
      <c r="H12" s="782">
        <f>'Pro Forma'!$BR$28</f>
        <v>171906.19814178045</v>
      </c>
      <c r="I12" s="299">
        <f>'Pro Forma'!$CE$28</f>
        <v>177063.38408603391</v>
      </c>
      <c r="J12" s="299">
        <f>'Pro Forma'!$CR$28</f>
        <v>182375.28560861491</v>
      </c>
      <c r="K12" s="299">
        <f>'Pro Forma'!$DE$28</f>
        <v>187846.54417687337</v>
      </c>
      <c r="L12" s="299">
        <f>'Pro Forma'!$DR$28</f>
        <v>193481.94050217944</v>
      </c>
      <c r="M12" s="299">
        <f>'Pro Forma'!EE28</f>
        <v>199286.39871724488</v>
      </c>
      <c r="O12" s="161"/>
      <c r="P12" t="s">
        <v>48</v>
      </c>
      <c r="R12" s="27">
        <f>'Inputs &amp; Assumptions'!V12</f>
        <v>3.9E-2</v>
      </c>
      <c r="T12" s="799" t="s">
        <v>199</v>
      </c>
      <c r="V12" s="80">
        <f>V7/R16</f>
        <v>9.9070393680831295</v>
      </c>
      <c r="X12" s="728" t="s">
        <v>200</v>
      </c>
      <c r="AA12" s="101" cm="1">
        <f t="array" ref="AA12">SUM((AD8:AD18)/V6)/AD4</f>
        <v>0.20479366662137297</v>
      </c>
      <c r="AB12" s="323" t="s">
        <v>201</v>
      </c>
      <c r="AC12" s="98">
        <f t="shared" si="1"/>
        <v>7.6937252414799165E-2</v>
      </c>
      <c r="AD12" s="808">
        <f>($AD$4/($Q$29))*Waterfall!$I$84</f>
        <v>7693.7252414799159</v>
      </c>
      <c r="AG12" s="387"/>
      <c r="AH12" s="388"/>
      <c r="AI12" s="6"/>
    </row>
    <row r="13" spans="2:44">
      <c r="B13" s="787" t="s">
        <v>109</v>
      </c>
      <c r="D13" s="781">
        <f>'Pro Forma'!$R$30</f>
        <v>49999.999999999993</v>
      </c>
      <c r="E13" s="781">
        <f>'Pro Forma'!$AE$30</f>
        <v>51499.999999999993</v>
      </c>
      <c r="F13" s="781">
        <f>'Pro Forma'!$AR$30</f>
        <v>53044.999999999993</v>
      </c>
      <c r="G13" s="781">
        <f>'Pro Forma'!$BE$30</f>
        <v>54636.350000000006</v>
      </c>
      <c r="H13" s="782">
        <f>'Pro Forma'!$BR$30</f>
        <v>56275.440500000019</v>
      </c>
      <c r="I13" s="299">
        <f>'Pro Forma'!$CE$30</f>
        <v>57963.703714999989</v>
      </c>
      <c r="J13" s="299">
        <f>'Pro Forma'!$CR$30</f>
        <v>59702.614826450008</v>
      </c>
      <c r="K13" s="299">
        <f>'Pro Forma'!$DE$30</f>
        <v>61493.693271243508</v>
      </c>
      <c r="L13" s="299">
        <f>'Pro Forma'!$DR$30</f>
        <v>63338.504069380833</v>
      </c>
      <c r="M13" s="299">
        <f>'Pro Forma'!EE30</f>
        <v>65238.65919146224</v>
      </c>
      <c r="O13" s="161"/>
      <c r="P13" t="s">
        <v>202</v>
      </c>
      <c r="R13" s="91">
        <f>'Inputs &amp; Assumptions'!V14</f>
        <v>0</v>
      </c>
      <c r="T13" s="799" t="s">
        <v>203</v>
      </c>
      <c r="V13" s="80">
        <f>U39/R16</f>
        <v>179.73380818619583</v>
      </c>
      <c r="X13" s="728" t="s">
        <v>204</v>
      </c>
      <c r="AA13" s="102">
        <f>SUM(AD8:AD18)/AD4+1</f>
        <v>2.0239683331068647</v>
      </c>
      <c r="AB13" s="323" t="s">
        <v>205</v>
      </c>
      <c r="AC13" s="98">
        <f t="shared" si="1"/>
        <v>1.7944323542248699</v>
      </c>
      <c r="AD13" s="808">
        <f>($AD$4/($Q$29)*Waterfall!$J$84)</f>
        <v>179443.23542248699</v>
      </c>
      <c r="AG13" s="387"/>
      <c r="AH13" s="388"/>
      <c r="AI13" s="6"/>
    </row>
    <row r="14" spans="2:44">
      <c r="B14" s="161" t="s">
        <v>206</v>
      </c>
      <c r="D14" s="781">
        <f>SUM(D11:D13)</f>
        <v>1721138.8122676003</v>
      </c>
      <c r="E14" s="781">
        <f t="shared" ref="E14:M14" si="3">SUM(E11:E13)</f>
        <v>1831385.1391870019</v>
      </c>
      <c r="F14" s="781">
        <f t="shared" si="3"/>
        <v>1905400.1965231793</v>
      </c>
      <c r="G14" s="781">
        <f t="shared" si="3"/>
        <v>1962562.202418874</v>
      </c>
      <c r="H14" s="782">
        <f t="shared" si="3"/>
        <v>2021439.0684914412</v>
      </c>
      <c r="I14" s="299">
        <f t="shared" si="3"/>
        <v>2082082.2405461839</v>
      </c>
      <c r="J14" s="299">
        <f t="shared" si="3"/>
        <v>2144544.7077625697</v>
      </c>
      <c r="K14" s="299">
        <f t="shared" si="3"/>
        <v>2208881.0489954469</v>
      </c>
      <c r="L14" s="299">
        <f t="shared" si="3"/>
        <v>2275147.4804653102</v>
      </c>
      <c r="M14" s="299">
        <f t="shared" si="3"/>
        <v>2343401.9048792692</v>
      </c>
      <c r="O14" s="161" t="s">
        <v>207</v>
      </c>
      <c r="Q14" s="800"/>
      <c r="R14" s="26">
        <f>'Inputs &amp; Assumptions'!H4</f>
        <v>200</v>
      </c>
      <c r="T14" s="43" t="s">
        <v>208</v>
      </c>
      <c r="U14" s="43"/>
      <c r="V14" s="801">
        <f>IF(V6=1,'Inputs &amp; Assumptions'!V64,IF(V6=2,'Pro Forma'!AE63,IF(V6=3,'Pro Forma'!AR63,IF(V6=4,'Pro Forma'!BE63,IF(V6=5,'Pro Forma'!BR63,IF(V6=6,'Pro Forma'!CE63,IF(V6=7,'Pro Forma'!CR63,IF(V6=8,'Pro Forma'!DE63,IF(V6=9,'Pro Forma'!DR63,'Pro Forma'!EE63)))))))))</f>
        <v>70643191.166372836</v>
      </c>
      <c r="X14" s="728"/>
      <c r="AA14" s="809"/>
      <c r="AB14" s="323" t="s">
        <v>209</v>
      </c>
      <c r="AC14" s="98">
        <f t="shared" si="1"/>
        <v>0</v>
      </c>
      <c r="AD14" s="808">
        <f>($AD$4/($Q$29))*Waterfall!$K$84</f>
        <v>0</v>
      </c>
      <c r="AG14" s="103"/>
    </row>
    <row r="15" spans="2:44">
      <c r="B15" s="753" t="s">
        <v>117</v>
      </c>
      <c r="C15" s="788">
        <f>-'Cash Flows &amp; Summary'!U39</f>
        <v>-51060218.100000001</v>
      </c>
      <c r="D15" s="788">
        <f>D10-D14</f>
        <v>2171501.8011123994</v>
      </c>
      <c r="E15" s="788">
        <f>E10-E14</f>
        <v>2795300.167046397</v>
      </c>
      <c r="F15" s="788">
        <f t="shared" ref="F15:M15" si="4">F10-F14</f>
        <v>3495869.1075827824</v>
      </c>
      <c r="G15" s="788">
        <f t="shared" si="4"/>
        <v>3600745.180810268</v>
      </c>
      <c r="H15" s="789">
        <f>H10-H14</f>
        <v>3708767.5362345753</v>
      </c>
      <c r="I15" s="303">
        <f t="shared" si="4"/>
        <v>3820030.5623216117</v>
      </c>
      <c r="J15" s="303">
        <f t="shared" si="4"/>
        <v>3934631.479191259</v>
      </c>
      <c r="K15" s="303">
        <f t="shared" si="4"/>
        <v>4052670.4235669994</v>
      </c>
      <c r="L15" s="303">
        <f t="shared" si="4"/>
        <v>4174250.5362740061</v>
      </c>
      <c r="M15" s="303">
        <f t="shared" si="4"/>
        <v>4299478.0523622297</v>
      </c>
      <c r="O15" s="161" t="s">
        <v>210</v>
      </c>
      <c r="R15" s="11">
        <f>'CapEx '!C5</f>
        <v>88</v>
      </c>
      <c r="T15" s="799" t="s">
        <v>82</v>
      </c>
      <c r="V15" s="242">
        <f>V14/R14</f>
        <v>353215.95583186415</v>
      </c>
      <c r="X15" s="161"/>
      <c r="AA15" s="27"/>
      <c r="AB15" s="323" t="s">
        <v>211</v>
      </c>
      <c r="AC15" s="98">
        <f t="shared" si="1"/>
        <v>0</v>
      </c>
      <c r="AD15" s="808">
        <f>($AD$4/($Q$29))*Waterfall!$L$84</f>
        <v>0</v>
      </c>
    </row>
    <row r="16" spans="2:44">
      <c r="B16" s="161" t="s">
        <v>212</v>
      </c>
      <c r="C16" s="781"/>
      <c r="D16" s="781">
        <f>'Pro Forma'!$R$39</f>
        <v>77852.81226760002</v>
      </c>
      <c r="E16" s="781">
        <f>'Pro Forma'!$AE$39</f>
        <v>92533.706124667995</v>
      </c>
      <c r="F16" s="781">
        <f>'Pro Forma'!$AR$39</f>
        <v>108025.38608211925</v>
      </c>
      <c r="G16" s="781">
        <f>'Pro Forma'!$BE$39</f>
        <v>111266.14766458282</v>
      </c>
      <c r="H16" s="782">
        <f>'Pro Forma'!$BR$39</f>
        <v>114604.13209452033</v>
      </c>
      <c r="I16" s="299">
        <f>'Pro Forma'!$CE$39</f>
        <v>118042.25605735595</v>
      </c>
      <c r="J16" s="299">
        <f>'Pro Forma'!$CR$39</f>
        <v>121583.52373907661</v>
      </c>
      <c r="K16" s="299">
        <f>'Pro Forma'!$DE$39</f>
        <v>125231.02945124892</v>
      </c>
      <c r="L16" s="299">
        <f>'Pro Forma'!$DR$39</f>
        <v>128987.96033478634</v>
      </c>
      <c r="M16" s="299">
        <f>'Pro Forma'!EE39</f>
        <v>132857.59914482996</v>
      </c>
      <c r="O16" s="161" t="s">
        <v>213</v>
      </c>
      <c r="R16" s="802">
        <f>'Inputs &amp; Assumptions'!D9</f>
        <v>284088</v>
      </c>
      <c r="T16" s="799" t="s">
        <v>180</v>
      </c>
      <c r="V16" s="80">
        <f>V14/R16</f>
        <v>248.6665792514039</v>
      </c>
      <c r="X16" s="161"/>
      <c r="Z16" s="31"/>
      <c r="AA16" s="18"/>
      <c r="AB16" s="323" t="s">
        <v>214</v>
      </c>
      <c r="AC16" s="98">
        <f t="shared" si="1"/>
        <v>0</v>
      </c>
      <c r="AD16" s="808">
        <f>($AD$4/($Q$29))*Waterfall!$M$84</f>
        <v>0</v>
      </c>
    </row>
    <row r="17" spans="2:31">
      <c r="B17" s="161" t="s">
        <v>215</v>
      </c>
      <c r="C17" s="781"/>
      <c r="D17" s="781">
        <f>'Pro Forma'!$R$45+'Pro Forma'!$R$50</f>
        <v>1315388.2881464837</v>
      </c>
      <c r="E17" s="781">
        <f>'Pro Forma'!$AE$45+'Pro Forma'!$AE$50</f>
        <v>1315388.2881464837</v>
      </c>
      <c r="F17" s="781">
        <f>'Pro Forma'!$AR$45+'Pro Forma'!$AR$50</f>
        <v>1315388.2881464837</v>
      </c>
      <c r="G17" s="781">
        <f>'Pro Forma'!$BE$45+'Pro Forma'!$BE$50</f>
        <v>2272314.9199288087</v>
      </c>
      <c r="H17" s="782">
        <f>'Pro Forma'!$BR$45+'Pro Forma'!$BR$50</f>
        <v>2272314.9199288087</v>
      </c>
      <c r="I17" s="299">
        <f>'Pro Forma'!$CE$45+'Pro Forma'!$CE$50</f>
        <v>2724735.2071115025</v>
      </c>
      <c r="J17" s="299">
        <f>'Pro Forma'!$CR$45+'Pro Forma'!$CR$50</f>
        <v>2724735.2071115025</v>
      </c>
      <c r="K17" s="299">
        <f>'Pro Forma'!$DE$45+'Pro Forma'!$DE$50</f>
        <v>2724735.2071115025</v>
      </c>
      <c r="L17" s="299">
        <f>'Pro Forma'!$DR$45+'Pro Forma'!$DR$50</f>
        <v>2724735.2071115025</v>
      </c>
      <c r="M17" s="299">
        <f>'Pro Forma'!EE45+'Pro Forma'!EE50</f>
        <v>2724735.2071115025</v>
      </c>
      <c r="O17" s="161"/>
      <c r="T17" s="43" t="s">
        <v>216</v>
      </c>
      <c r="V17" s="725"/>
      <c r="X17" s="161"/>
      <c r="Z17" s="285"/>
      <c r="AA17" s="1072"/>
      <c r="AB17" s="323" t="s">
        <v>217</v>
      </c>
      <c r="AC17" s="98">
        <f t="shared" si="1"/>
        <v>0</v>
      </c>
      <c r="AD17" s="808">
        <f>($AD$4/($Q$29))*Waterfall!$N$84</f>
        <v>0</v>
      </c>
    </row>
    <row r="18" spans="2:31">
      <c r="B18" s="161" t="s">
        <v>123</v>
      </c>
      <c r="C18" s="781"/>
      <c r="D18" s="790">
        <f>'Pro Forma'!$R$42</f>
        <v>1.6508447130635986</v>
      </c>
      <c r="E18" s="790">
        <f>'Pro Forma'!$AE$42</f>
        <v>2.1250760647909228</v>
      </c>
      <c r="F18" s="790">
        <f>'Pro Forma'!$AR$42</f>
        <v>2.6576708482852758</v>
      </c>
      <c r="G18" s="790">
        <f>'Pro Forma'!$BE$42</f>
        <v>1.3215027909546568</v>
      </c>
      <c r="H18" s="791">
        <f>'Pro Forma'!$BR$42</f>
        <v>1.3611478746832968</v>
      </c>
      <c r="I18" s="302">
        <f>'Pro Forma'!$CE$42</f>
        <v>1.4019823109237959</v>
      </c>
      <c r="J18" s="302">
        <f>'Pro Forma'!$CR$42</f>
        <v>1.44404178025151</v>
      </c>
      <c r="K18" s="302">
        <f>'Pro Forma'!$DE$42</f>
        <v>1.4873630336590553</v>
      </c>
      <c r="L18" s="302">
        <f>'Pro Forma'!$DR$42</f>
        <v>1.531983924668826</v>
      </c>
      <c r="M18" s="302">
        <f>'Pro Forma'!$DR$42</f>
        <v>1.531983924668826</v>
      </c>
      <c r="N18" s="333"/>
      <c r="O18" s="161"/>
      <c r="T18" s="799" t="s">
        <v>218</v>
      </c>
      <c r="V18" s="189">
        <f>'Inputs &amp; Assumptions'!V46</f>
        <v>0.03</v>
      </c>
      <c r="X18" s="161"/>
      <c r="AA18" s="1072"/>
      <c r="AB18" s="324" t="s">
        <v>219</v>
      </c>
      <c r="AC18" s="98">
        <f t="shared" si="1"/>
        <v>0</v>
      </c>
      <c r="AD18" s="808">
        <f>($AD$4/($Q$29)*Waterfall!$O$84)</f>
        <v>0</v>
      </c>
    </row>
    <row r="19" spans="2:31">
      <c r="B19" s="753" t="s">
        <v>220</v>
      </c>
      <c r="C19" s="788">
        <f>-'Cash Flows &amp; Summary'!Q29</f>
        <v>-15820218.099999998</v>
      </c>
      <c r="D19" s="788">
        <f>D15-SUM(D16:D17)</f>
        <v>778260.70069831563</v>
      </c>
      <c r="E19" s="788">
        <f>E15-SUM(E16:E17)</f>
        <v>1387378.1727752453</v>
      </c>
      <c r="F19" s="788">
        <f>F15-SUM(F16:F17)</f>
        <v>2072455.4333541794</v>
      </c>
      <c r="G19" s="788">
        <f>G15-SUM(G16:G17)</f>
        <v>1217164.1132168765</v>
      </c>
      <c r="H19" s="789">
        <f>H15-SUM(H16:H17)</f>
        <v>1321848.4842112465</v>
      </c>
      <c r="I19" s="303">
        <f t="shared" ref="I19:K19" si="5">I15-SUM(I16:I17)</f>
        <v>977253.09915275313</v>
      </c>
      <c r="J19" s="303">
        <f t="shared" si="5"/>
        <v>1088312.7483406798</v>
      </c>
      <c r="K19" s="303">
        <f t="shared" si="5"/>
        <v>1202704.1870042481</v>
      </c>
      <c r="L19" s="303">
        <f>L15-SUM(L16:L17)</f>
        <v>1320527.3688277174</v>
      </c>
      <c r="M19" s="303">
        <f>M15-SUM(M16:M17)</f>
        <v>1441885.2461058972</v>
      </c>
      <c r="O19" s="161"/>
      <c r="T19" s="799" t="s">
        <v>221</v>
      </c>
      <c r="V19" s="189">
        <f>'Inputs &amp; Assumptions'!V47</f>
        <v>0.03</v>
      </c>
      <c r="X19" s="161"/>
      <c r="AA19" s="1072"/>
      <c r="AB19" s="963" t="s">
        <v>113</v>
      </c>
      <c r="AC19" s="964">
        <f>SUM(AC8:AC18)</f>
        <v>1.023968333106865</v>
      </c>
      <c r="AD19" s="965">
        <f>SUM(AD8:AD18)</f>
        <v>102396.8333106865</v>
      </c>
    </row>
    <row r="20" spans="2:31">
      <c r="B20" s="161" t="s">
        <v>222</v>
      </c>
      <c r="C20" s="781"/>
      <c r="D20" s="781">
        <f>'Pro Forma'!$R$53</f>
        <v>0</v>
      </c>
      <c r="E20" s="781">
        <f>'Pro Forma'!$AE$53</f>
        <v>0</v>
      </c>
      <c r="F20" s="781">
        <f>'Pro Forma'!$AR$53</f>
        <v>15772117.329420332</v>
      </c>
      <c r="G20" s="781">
        <f>'Pro Forma'!$BE$53</f>
        <v>0</v>
      </c>
      <c r="H20" s="782">
        <f>'Pro Forma'!$BR$53</f>
        <v>0</v>
      </c>
      <c r="I20" s="299">
        <f>'Pro Forma'!$CE$53</f>
        <v>0</v>
      </c>
      <c r="J20" s="299">
        <f>'Pro Forma'!$CR$53</f>
        <v>0</v>
      </c>
      <c r="K20" s="299">
        <f>'Pro Forma'!$DE$53</f>
        <v>0</v>
      </c>
      <c r="L20" s="299">
        <f>'Pro Forma'!$DR$53</f>
        <v>0</v>
      </c>
      <c r="M20" s="299">
        <f>'Pro Forma'!EE53</f>
        <v>0</v>
      </c>
      <c r="O20" s="161"/>
      <c r="T20" s="799" t="s">
        <v>223</v>
      </c>
      <c r="V20" s="189">
        <f>'Inputs &amp; Assumptions'!V55</f>
        <v>0.05</v>
      </c>
      <c r="X20" s="161"/>
      <c r="AA20" s="1072"/>
      <c r="AD20" s="810"/>
      <c r="AE20" s="6"/>
    </row>
    <row r="21" spans="2:31">
      <c r="B21" s="161" t="s">
        <v>224</v>
      </c>
      <c r="C21" s="781"/>
      <c r="D21" s="781">
        <f>'Pro Forma'!$R$55</f>
        <v>0</v>
      </c>
      <c r="E21" s="781">
        <f>'Pro Forma'!$AE$55</f>
        <v>0</v>
      </c>
      <c r="F21" s="781">
        <f>'Pro Forma'!$AR$55</f>
        <v>0</v>
      </c>
      <c r="G21" s="781">
        <f>'Pro Forma'!$BE$55</f>
        <v>0</v>
      </c>
      <c r="H21" s="782">
        <f>'Pro Forma'!$BR$55</f>
        <v>31005196.055066705</v>
      </c>
      <c r="I21" s="299">
        <f>'Pro Forma'!$CE$55</f>
        <v>0</v>
      </c>
      <c r="J21" s="299">
        <f>'Pro Forma'!$CR$55</f>
        <v>0</v>
      </c>
      <c r="K21" s="299">
        <f>'Pro Forma'!$DE$55</f>
        <v>0</v>
      </c>
      <c r="L21" s="299">
        <f>'Pro Forma'!$DR$55</f>
        <v>0</v>
      </c>
      <c r="M21" s="299">
        <f>'Pro Forma'!$EE$53</f>
        <v>0</v>
      </c>
      <c r="O21" s="161"/>
      <c r="T21" s="799" t="s">
        <v>225</v>
      </c>
      <c r="V21" s="803">
        <f>'Inputs &amp; Assumptions'!V65</f>
        <v>5.2499999999999998E-2</v>
      </c>
      <c r="X21" s="161"/>
      <c r="AA21" s="1072"/>
      <c r="AD21" s="725"/>
    </row>
    <row r="22" spans="2:31" ht="16.5" thickBot="1">
      <c r="B22" s="792" t="s">
        <v>226</v>
      </c>
      <c r="C22" s="793">
        <f>-'Cash Flows &amp; Summary'!Q29</f>
        <v>-15820218.099999998</v>
      </c>
      <c r="D22" s="794">
        <f>SUM(D19:D21)</f>
        <v>778260.70069831563</v>
      </c>
      <c r="E22" s="794">
        <f t="shared" ref="E22:H22" si="6">SUM(E19:E21)</f>
        <v>1387378.1727752453</v>
      </c>
      <c r="F22" s="794">
        <f t="shared" si="6"/>
        <v>17844572.762774512</v>
      </c>
      <c r="G22" s="794">
        <f t="shared" si="6"/>
        <v>1217164.1132168765</v>
      </c>
      <c r="H22" s="795">
        <f t="shared" si="6"/>
        <v>32327044.539277952</v>
      </c>
      <c r="I22" s="304">
        <f>SUM(I19:I21)</f>
        <v>977253.09915275313</v>
      </c>
      <c r="J22" s="304">
        <f>SUM(J19:J21)</f>
        <v>1088312.7483406798</v>
      </c>
      <c r="K22" s="304">
        <f>SUM(K19:K21)</f>
        <v>1202704.1870042481</v>
      </c>
      <c r="L22" s="304">
        <f>SUM(L19:L21)</f>
        <v>1320527.3688277174</v>
      </c>
      <c r="M22" s="304">
        <f>SUM(M19:M21)</f>
        <v>1441885.2461058972</v>
      </c>
      <c r="O22" s="185"/>
      <c r="P22" s="183"/>
      <c r="Q22" s="183"/>
      <c r="R22" s="183"/>
      <c r="S22" s="183"/>
      <c r="T22" s="183"/>
      <c r="U22" s="804"/>
      <c r="V22" s="184"/>
      <c r="X22" s="185"/>
      <c r="Y22" s="183"/>
      <c r="Z22" s="183"/>
      <c r="AA22" s="183"/>
      <c r="AB22" s="183"/>
      <c r="AC22" s="183"/>
      <c r="AD22" s="184"/>
    </row>
    <row r="23" spans="2:31">
      <c r="B23" s="43"/>
      <c r="C23" s="315"/>
      <c r="D23" s="316"/>
      <c r="E23" s="316"/>
      <c r="F23" s="316"/>
      <c r="G23" s="316"/>
      <c r="H23" s="316"/>
      <c r="I23" s="316"/>
      <c r="J23" s="316"/>
      <c r="K23" s="316"/>
      <c r="L23" s="316"/>
      <c r="M23" s="316"/>
    </row>
    <row r="24" spans="2:31" ht="16.5" thickBot="1">
      <c r="C24" s="308"/>
      <c r="D24" s="309">
        <f>D22-'Pro Forma'!R57</f>
        <v>0</v>
      </c>
      <c r="E24" s="309">
        <f>E19-'Pro Forma'!AE57</f>
        <v>0</v>
      </c>
      <c r="F24" s="309">
        <f>F22-'Pro Forma'!AR57</f>
        <v>15772117.329420334</v>
      </c>
      <c r="G24" s="309">
        <f>G22-'Pro Forma'!BE57</f>
        <v>2.3283064365386963E-9</v>
      </c>
      <c r="H24" s="309">
        <f>H22-'Pro Forma'!BR55-'Pro Forma'!BR57</f>
        <v>2.3283064365386963E-9</v>
      </c>
      <c r="I24" s="309">
        <f>I22-'Pro Forma'!CE57</f>
        <v>0</v>
      </c>
      <c r="J24" s="309">
        <f>J22-'Pro Forma'!CR57</f>
        <v>-1.862645149230957E-9</v>
      </c>
      <c r="K24" s="309">
        <f>K22-'Pro Forma'!DE57</f>
        <v>0</v>
      </c>
      <c r="L24" s="309">
        <f>L22-'Pro Forma'!DR57</f>
        <v>0</v>
      </c>
      <c r="M24" s="309">
        <f>M23-'Pro Forma'!EE57</f>
        <v>-1441885.2461058954</v>
      </c>
      <c r="N24" s="308"/>
    </row>
    <row r="25" spans="2:31" ht="18.75">
      <c r="B25" s="715" t="s">
        <v>227</v>
      </c>
      <c r="C25" s="716"/>
      <c r="D25" s="716"/>
      <c r="E25" s="716"/>
      <c r="F25" s="716"/>
      <c r="G25" s="716"/>
      <c r="H25" s="717"/>
      <c r="I25" s="337"/>
      <c r="J25" s="337"/>
      <c r="K25" s="337"/>
      <c r="L25" s="337"/>
      <c r="M25" s="337"/>
      <c r="O25" s="715" t="s">
        <v>228</v>
      </c>
      <c r="P25" s="716"/>
      <c r="Q25" s="716"/>
      <c r="R25" s="716"/>
      <c r="S25" s="716"/>
      <c r="T25" s="716"/>
      <c r="U25" s="716"/>
      <c r="V25" s="717"/>
      <c r="X25" s="715" t="s">
        <v>2</v>
      </c>
      <c r="Y25" s="716"/>
      <c r="Z25" s="716"/>
      <c r="AA25" s="716"/>
      <c r="AB25" s="716"/>
      <c r="AC25" s="716"/>
      <c r="AD25" s="717"/>
      <c r="AE25" s="313"/>
    </row>
    <row r="26" spans="2:31">
      <c r="B26" s="774"/>
      <c r="C26" s="1090">
        <v>0</v>
      </c>
      <c r="D26" s="1090">
        <v>1</v>
      </c>
      <c r="E26" s="1090">
        <v>2</v>
      </c>
      <c r="F26" s="1090">
        <v>3</v>
      </c>
      <c r="G26" s="1090">
        <v>4</v>
      </c>
      <c r="H26" s="1091">
        <v>5</v>
      </c>
      <c r="I26" s="239">
        <v>6</v>
      </c>
      <c r="J26" s="239">
        <v>7</v>
      </c>
      <c r="K26" s="239">
        <v>8</v>
      </c>
      <c r="L26" s="239">
        <v>9</v>
      </c>
      <c r="M26" s="239">
        <v>10</v>
      </c>
      <c r="O26" s="942" t="s">
        <v>229</v>
      </c>
      <c r="P26" s="1120"/>
      <c r="Q26" s="1120"/>
      <c r="R26" s="1120"/>
      <c r="S26" s="1121"/>
      <c r="T26" s="959" t="s">
        <v>230</v>
      </c>
      <c r="U26" s="1120"/>
      <c r="V26" s="943"/>
      <c r="X26" s="960" t="str">
        <f>'Inputs &amp; Assumptions'!L4</f>
        <v>Type</v>
      </c>
      <c r="Y26" s="961" t="str">
        <f>'Inputs &amp; Assumptions'!M4</f>
        <v xml:space="preserve"># of Units </v>
      </c>
      <c r="Z26" s="961" t="str">
        <f>'Inputs &amp; Assumptions'!N4</f>
        <v>T12</v>
      </c>
      <c r="AA26" s="961" t="str">
        <f>'Inputs &amp; Assumptions'!O4</f>
        <v>Pro Forma</v>
      </c>
      <c r="AB26" s="961" t="str">
        <f>'Inputs &amp; Assumptions'!P4</f>
        <v>Sq Ft</v>
      </c>
      <c r="AC26" s="961" t="str">
        <f>'Inputs &amp; Assumptions'!Q4</f>
        <v>T12 Rent/SF</v>
      </c>
      <c r="AD26" s="962" t="str">
        <f>'Inputs &amp; Assumptions'!R4</f>
        <v>PF Rent/SF</v>
      </c>
    </row>
    <row r="27" spans="2:31">
      <c r="B27" s="811" t="s">
        <v>231</v>
      </c>
      <c r="C27" s="452">
        <f>Waterfall!E39</f>
        <v>-12000000</v>
      </c>
      <c r="D27" s="452">
        <f>Waterfall!F40</f>
        <v>778260.7006983161</v>
      </c>
      <c r="E27" s="452">
        <f>Waterfall!G40</f>
        <v>1289219.882885854</v>
      </c>
      <c r="F27" s="452">
        <f>Waterfall!H40</f>
        <v>15528585.918170623</v>
      </c>
      <c r="G27" s="452">
        <f>Waterfall!I40</f>
        <v>0</v>
      </c>
      <c r="H27" s="812">
        <f>Waterfall!J40</f>
        <v>0</v>
      </c>
      <c r="I27" s="452">
        <f>Waterfall!K39</f>
        <v>0</v>
      </c>
      <c r="J27" s="452">
        <f>Waterfall!L39</f>
        <v>0</v>
      </c>
      <c r="K27" s="452">
        <f>Waterfall!M39</f>
        <v>0</v>
      </c>
      <c r="L27" s="452">
        <f>Waterfall!N39</f>
        <v>0</v>
      </c>
      <c r="M27" s="452">
        <f>Waterfall!O39</f>
        <v>0</v>
      </c>
      <c r="O27" s="945" t="s">
        <v>232</v>
      </c>
      <c r="P27" s="946"/>
      <c r="Q27" s="947">
        <f>R9</f>
        <v>23240000.000000004</v>
      </c>
      <c r="R27" s="948">
        <f>Q27/$Q$39</f>
        <v>0.45514885883340961</v>
      </c>
      <c r="S27" s="949"/>
      <c r="T27" s="950" t="s">
        <v>233</v>
      </c>
      <c r="U27" s="947">
        <f>'Inputs &amp; Assumptions'!D6</f>
        <v>44340000</v>
      </c>
      <c r="V27" s="951">
        <f t="shared" ref="V27:V39" si="7">U27/$U$39</f>
        <v>0.86838641999455146</v>
      </c>
      <c r="X27" s="824" t="str">
        <f>'Inputs &amp; Assumptions'!L5</f>
        <v>2x2 flat</v>
      </c>
      <c r="Y27" s="10">
        <f>'Inputs &amp; Assumptions'!M5</f>
        <v>3</v>
      </c>
      <c r="Z27" s="3">
        <f>'Inputs &amp; Assumptions'!N5</f>
        <v>1112</v>
      </c>
      <c r="AA27" s="10">
        <f>'Inputs &amp; Assumptions'!O5</f>
        <v>1725</v>
      </c>
      <c r="AB27" s="10">
        <f>'Inputs &amp; Assumptions'!P5</f>
        <v>1036</v>
      </c>
      <c r="AC27" s="382">
        <f>'Inputs &amp; Assumptions'!Q5</f>
        <v>1.0733590733590734</v>
      </c>
      <c r="AD27" s="825">
        <f>'Inputs &amp; Assumptions'!R5</f>
        <v>1.665057915057915</v>
      </c>
    </row>
    <row r="28" spans="2:31">
      <c r="B28" s="813" t="s">
        <v>234</v>
      </c>
      <c r="C28" s="449">
        <f>Waterfall!E23</f>
        <v>-15820218.099999998</v>
      </c>
      <c r="D28" s="448">
        <f>Waterfall!F23-D27</f>
        <v>0</v>
      </c>
      <c r="E28" s="449">
        <f>Waterfall!G23-E27</f>
        <v>98158.28988939221</v>
      </c>
      <c r="F28" s="449">
        <f>Waterfall!H23-F27</f>
        <v>2315986.8446038887</v>
      </c>
      <c r="G28" s="449">
        <f>Waterfall!I23-G27</f>
        <v>1217164.1132168742</v>
      </c>
      <c r="H28" s="1092">
        <f>Waterfall!J23-H27</f>
        <v>32327044.539277948</v>
      </c>
      <c r="I28" s="448">
        <f>Waterfall!K23-I27</f>
        <v>0</v>
      </c>
      <c r="J28" s="448">
        <f>Waterfall!L23-J27</f>
        <v>0</v>
      </c>
      <c r="K28" s="448">
        <f>Waterfall!M23-K27</f>
        <v>0</v>
      </c>
      <c r="L28" s="448">
        <f>Waterfall!N23-L27</f>
        <v>0</v>
      </c>
      <c r="M28" s="448">
        <f>Waterfall!O23-M27</f>
        <v>0</v>
      </c>
      <c r="O28" s="820" t="s">
        <v>80</v>
      </c>
      <c r="P28" s="310"/>
      <c r="Q28" s="97">
        <f>'Inputs &amp; Assumptions'!V29</f>
        <v>12000000</v>
      </c>
      <c r="R28" s="98">
        <f>Q28/$Q$39</f>
        <v>0.23501662246131302</v>
      </c>
      <c r="T28" s="944" t="s">
        <v>32</v>
      </c>
      <c r="U28" s="97">
        <f>'Inputs &amp; Assumptions'!D6*'Inputs &amp; Assumptions'!V7</f>
        <v>665100</v>
      </c>
      <c r="V28" s="821">
        <f t="shared" si="7"/>
        <v>1.3025796299918272E-2</v>
      </c>
      <c r="X28" s="824" t="str">
        <f>'Inputs &amp; Assumptions'!L6</f>
        <v>2x2 flat R</v>
      </c>
      <c r="Y28" s="10">
        <f>'Inputs &amp; Assumptions'!M6</f>
        <v>1</v>
      </c>
      <c r="Z28" s="3">
        <f>'Inputs &amp; Assumptions'!N6</f>
        <v>1353</v>
      </c>
      <c r="AA28" s="10">
        <f>'Inputs &amp; Assumptions'!O6</f>
        <v>1650</v>
      </c>
      <c r="AB28" s="10">
        <f>'Inputs &amp; Assumptions'!P6</f>
        <v>1036</v>
      </c>
      <c r="AC28" s="382">
        <f>'Inputs &amp; Assumptions'!Q6</f>
        <v>1.305984555984556</v>
      </c>
      <c r="AD28" s="825">
        <f>'Inputs &amp; Assumptions'!R6</f>
        <v>1.5926640926640927</v>
      </c>
    </row>
    <row r="29" spans="2:31">
      <c r="B29" s="811" t="s">
        <v>235</v>
      </c>
      <c r="C29" s="452"/>
      <c r="D29" s="452">
        <f>Waterfall!F50</f>
        <v>0</v>
      </c>
      <c r="E29" s="452">
        <f>Waterfall!G50</f>
        <v>98158.28988939221</v>
      </c>
      <c r="F29" s="452">
        <f>Waterfall!H50</f>
        <v>2315986.8446038887</v>
      </c>
      <c r="G29" s="452">
        <f>Waterfall!I50</f>
        <v>1217164.1132168742</v>
      </c>
      <c r="H29" s="812">
        <f>Waterfall!J50</f>
        <v>2696777.992289844</v>
      </c>
      <c r="I29" s="450">
        <f>Waterfall!K50</f>
        <v>0</v>
      </c>
      <c r="J29" s="450">
        <f>Waterfall!L50</f>
        <v>0</v>
      </c>
      <c r="K29" s="450">
        <f>Waterfall!M50</f>
        <v>0</v>
      </c>
      <c r="L29" s="450">
        <f>Waterfall!N50</f>
        <v>0</v>
      </c>
      <c r="M29" s="450">
        <f>Waterfall!O50</f>
        <v>0</v>
      </c>
      <c r="O29" s="820" t="s">
        <v>236</v>
      </c>
      <c r="P29" s="310"/>
      <c r="Q29" s="97">
        <f>SUM(U27:U38)-Q27-Q28</f>
        <v>15820218.099999998</v>
      </c>
      <c r="R29" s="98">
        <f>Q29/$Q$39</f>
        <v>0.30983451870527751</v>
      </c>
      <c r="T29" s="944" t="s">
        <v>175</v>
      </c>
      <c r="U29" s="97">
        <f>V7</f>
        <v>2814471</v>
      </c>
      <c r="V29" s="821">
        <f t="shared" si="7"/>
        <v>5.5120622369609504E-2</v>
      </c>
      <c r="X29" s="824" t="str">
        <f>'Inputs &amp; Assumptions'!L7</f>
        <v>2x2 th</v>
      </c>
      <c r="Y29" s="10">
        <f>'Inputs &amp; Assumptions'!M7</f>
        <v>34</v>
      </c>
      <c r="Z29" s="3">
        <f>'Inputs &amp; Assumptions'!N7</f>
        <v>1344</v>
      </c>
      <c r="AA29" s="10">
        <f>'Inputs &amp; Assumptions'!O7</f>
        <v>1975</v>
      </c>
      <c r="AB29" s="10">
        <f>'Inputs &amp; Assumptions'!P7</f>
        <v>1208</v>
      </c>
      <c r="AC29" s="382">
        <f>'Inputs &amp; Assumptions'!Q7</f>
        <v>1.1125827814569536</v>
      </c>
      <c r="AD29" s="825">
        <f>'Inputs &amp; Assumptions'!R7</f>
        <v>1.634933774834437</v>
      </c>
    </row>
    <row r="30" spans="2:31">
      <c r="B30" s="811" t="s">
        <v>237</v>
      </c>
      <c r="C30" s="452"/>
      <c r="D30" s="452">
        <f>Waterfall!F62</f>
        <v>0</v>
      </c>
      <c r="E30" s="452">
        <f>Waterfall!G62</f>
        <v>0</v>
      </c>
      <c r="F30" s="452">
        <f>Waterfall!H62</f>
        <v>0</v>
      </c>
      <c r="G30" s="452">
        <f>Waterfall!I62</f>
        <v>0</v>
      </c>
      <c r="H30" s="812">
        <f>Waterfall!J62</f>
        <v>15820218.099999998</v>
      </c>
      <c r="I30" s="450">
        <f>Waterfall!K62</f>
        <v>0</v>
      </c>
      <c r="J30" s="450">
        <f>Waterfall!L62</f>
        <v>0</v>
      </c>
      <c r="K30" s="450">
        <f>Waterfall!M62</f>
        <v>0</v>
      </c>
      <c r="L30" s="450">
        <f>Waterfall!N62</f>
        <v>0</v>
      </c>
      <c r="M30" s="450">
        <f>Waterfall!O62</f>
        <v>0</v>
      </c>
      <c r="N30" s="307">
        <f>Waterfall!P70</f>
        <v>0</v>
      </c>
      <c r="O30" s="161"/>
      <c r="T30" s="944" t="s">
        <v>238</v>
      </c>
      <c r="U30" s="97">
        <f>V7*'Inputs &amp; Assumptions'!V42</f>
        <v>281447.10000000003</v>
      </c>
      <c r="V30" s="821">
        <f t="shared" si="7"/>
        <v>5.5120622369609507E-3</v>
      </c>
      <c r="X30" s="824" t="str">
        <f>'Inputs &amp; Assumptions'!L8</f>
        <v>2x2 th R</v>
      </c>
      <c r="Y30" s="10">
        <f>'Inputs &amp; Assumptions'!M8</f>
        <v>52</v>
      </c>
      <c r="Z30" s="3">
        <f>'Inputs &amp; Assumptions'!N8</f>
        <v>1535</v>
      </c>
      <c r="AA30" s="10">
        <f>'Inputs &amp; Assumptions'!O8</f>
        <v>1850</v>
      </c>
      <c r="AB30" s="10">
        <f>'Inputs &amp; Assumptions'!P8</f>
        <v>1208</v>
      </c>
      <c r="AC30" s="382">
        <f>'Inputs &amp; Assumptions'!Q8</f>
        <v>1.2706953642384107</v>
      </c>
      <c r="AD30" s="825">
        <f>'Inputs &amp; Assumptions'!R8</f>
        <v>1.5314569536423841</v>
      </c>
    </row>
    <row r="31" spans="2:31">
      <c r="B31" s="811" t="s">
        <v>239</v>
      </c>
      <c r="C31" s="452">
        <f>Waterfall!E70</f>
        <v>0</v>
      </c>
      <c r="D31" s="452">
        <f>Waterfall!F70</f>
        <v>0</v>
      </c>
      <c r="E31" s="452">
        <f>Waterfall!G70</f>
        <v>0</v>
      </c>
      <c r="F31" s="452">
        <f>Waterfall!H70</f>
        <v>0</v>
      </c>
      <c r="G31" s="452">
        <f>Waterfall!I70</f>
        <v>0</v>
      </c>
      <c r="H31" s="812">
        <f>Waterfall!J70</f>
        <v>7910109.049999998</v>
      </c>
      <c r="I31" s="452">
        <f>Waterfall!K70</f>
        <v>0</v>
      </c>
      <c r="J31" s="452">
        <f>Waterfall!L70</f>
        <v>0</v>
      </c>
      <c r="K31" s="452">
        <f>Waterfall!M70</f>
        <v>0</v>
      </c>
      <c r="L31" s="452">
        <f>Waterfall!N70</f>
        <v>0</v>
      </c>
      <c r="M31" s="452">
        <f>Waterfall!O70</f>
        <v>0</v>
      </c>
      <c r="O31" s="161"/>
      <c r="T31" s="944" t="s">
        <v>35</v>
      </c>
      <c r="U31" s="97">
        <v>200000</v>
      </c>
      <c r="V31" s="821">
        <f t="shared" si="7"/>
        <v>3.9169437076885501E-3</v>
      </c>
      <c r="X31" s="824" t="str">
        <f>'Inputs &amp; Assumptions'!L9</f>
        <v>3x2 flat</v>
      </c>
      <c r="Y31" s="10">
        <f>'Inputs &amp; Assumptions'!M9</f>
        <v>3</v>
      </c>
      <c r="Z31" s="3">
        <f>'Inputs &amp; Assumptions'!N9</f>
        <v>1480</v>
      </c>
      <c r="AA31" s="10">
        <f>'Inputs &amp; Assumptions'!O9</f>
        <v>1995</v>
      </c>
      <c r="AB31" s="10">
        <f>'Inputs &amp; Assumptions'!P9</f>
        <v>1296</v>
      </c>
      <c r="AC31" s="382">
        <f>'Inputs &amp; Assumptions'!Q9</f>
        <v>1.1419753086419753</v>
      </c>
      <c r="AD31" s="825">
        <f>'Inputs &amp; Assumptions'!R9</f>
        <v>1.5393518518518519</v>
      </c>
    </row>
    <row r="32" spans="2:31">
      <c r="B32" s="811" t="s">
        <v>240</v>
      </c>
      <c r="C32" s="452">
        <f>Waterfall!E79</f>
        <v>0</v>
      </c>
      <c r="D32" s="452">
        <f>Waterfall!F79</f>
        <v>0</v>
      </c>
      <c r="E32" s="452">
        <f>Waterfall!G79</f>
        <v>0</v>
      </c>
      <c r="F32" s="452">
        <f>Waterfall!H79</f>
        <v>0</v>
      </c>
      <c r="G32" s="452">
        <f>Waterfall!I79</f>
        <v>0</v>
      </c>
      <c r="H32" s="812">
        <f>Waterfall!J79</f>
        <v>1961206.0672440543</v>
      </c>
      <c r="I32" s="452">
        <f>Waterfall!K79</f>
        <v>0</v>
      </c>
      <c r="J32" s="452">
        <f>Waterfall!L79</f>
        <v>0</v>
      </c>
      <c r="K32" s="452">
        <f>Waterfall!M79</f>
        <v>0</v>
      </c>
      <c r="L32" s="452">
        <f>Waterfall!N79</f>
        <v>0</v>
      </c>
      <c r="M32" s="452">
        <f>Waterfall!O79</f>
        <v>0</v>
      </c>
      <c r="O32" s="161"/>
      <c r="T32" s="944" t="s">
        <v>241</v>
      </c>
      <c r="U32" s="97">
        <f>'Inputs &amp; Assumptions'!V9</f>
        <v>1000000</v>
      </c>
      <c r="V32" s="821">
        <f t="shared" si="7"/>
        <v>1.958471853844275E-2</v>
      </c>
      <c r="X32" s="824" t="str">
        <f>'Inputs &amp; Assumptions'!L10</f>
        <v>3x2 flat R</v>
      </c>
      <c r="Y32" s="10">
        <f>'Inputs &amp; Assumptions'!M10</f>
        <v>1</v>
      </c>
      <c r="Z32" s="3">
        <f>'Inputs &amp; Assumptions'!N10</f>
        <v>1840</v>
      </c>
      <c r="AA32" s="10">
        <f>'Inputs &amp; Assumptions'!O10</f>
        <v>1950</v>
      </c>
      <c r="AB32" s="10">
        <f>'Inputs &amp; Assumptions'!P10</f>
        <v>1296</v>
      </c>
      <c r="AC32" s="382">
        <f>'Inputs &amp; Assumptions'!Q10</f>
        <v>1.4197530864197532</v>
      </c>
      <c r="AD32" s="825">
        <f>'Inputs &amp; Assumptions'!R10</f>
        <v>1.5046296296296295</v>
      </c>
    </row>
    <row r="33" spans="2:30">
      <c r="B33" s="811" t="s">
        <v>242</v>
      </c>
      <c r="C33" s="451">
        <f>Waterfall!F58+Waterfall!F74+Waterfall!F78</f>
        <v>0</v>
      </c>
      <c r="D33" s="451">
        <f>Waterfall!G58+Waterfall!G74+Waterfall!G78</f>
        <v>0</v>
      </c>
      <c r="E33" s="451">
        <f>Waterfall!H58+Waterfall!H74+Waterfall!H78</f>
        <v>0</v>
      </c>
      <c r="F33" s="451">
        <f>Waterfall!I58+Waterfall!I74+Waterfall!I78</f>
        <v>0</v>
      </c>
      <c r="G33" s="452">
        <f>Waterfall!I58+Waterfall!I74+Waterfall!I78</f>
        <v>0</v>
      </c>
      <c r="H33" s="812">
        <f>Waterfall!J58+Waterfall!J74+Waterfall!J78</f>
        <v>3938733.3297440535</v>
      </c>
      <c r="I33" s="451">
        <f>Waterfall!L58+Waterfall!L74+Waterfall!L78</f>
        <v>0</v>
      </c>
      <c r="J33" s="451">
        <f>Waterfall!M58+Waterfall!M74+Waterfall!M78</f>
        <v>0</v>
      </c>
      <c r="K33" s="451">
        <f>Waterfall!N58+Waterfall!N74+Waterfall!N78</f>
        <v>0</v>
      </c>
      <c r="L33" s="451">
        <f>Waterfall!O58+Waterfall!O74+Waterfall!O78</f>
        <v>0</v>
      </c>
      <c r="M33" s="451">
        <f>Waterfall!P58+Waterfall!P74+Waterfall!P78</f>
        <v>0</v>
      </c>
      <c r="O33" s="161"/>
      <c r="T33" s="944" t="s">
        <v>243</v>
      </c>
      <c r="U33" s="97">
        <f>R9*'Inputs &amp; Assumptions'!V15</f>
        <v>232400.00000000003</v>
      </c>
      <c r="V33" s="821">
        <f t="shared" si="7"/>
        <v>4.5514885883340952E-3</v>
      </c>
      <c r="X33" s="824" t="str">
        <f>'Inputs &amp; Assumptions'!L11</f>
        <v>3x2.5 th</v>
      </c>
      <c r="Y33" s="10">
        <f>'Inputs &amp; Assumptions'!M11</f>
        <v>47</v>
      </c>
      <c r="Z33" s="3">
        <f>'Inputs &amp; Assumptions'!N11</f>
        <v>1584</v>
      </c>
      <c r="AA33" s="10">
        <f>'Inputs &amp; Assumptions'!O11</f>
        <v>2300</v>
      </c>
      <c r="AB33" s="10">
        <f>'Inputs &amp; Assumptions'!P11</f>
        <v>1612</v>
      </c>
      <c r="AC33" s="382">
        <f>'Inputs &amp; Assumptions'!Q11</f>
        <v>0.98263027295285355</v>
      </c>
      <c r="AD33" s="825">
        <f>'Inputs &amp; Assumptions'!R11</f>
        <v>1.4267990074441688</v>
      </c>
    </row>
    <row r="34" spans="2:30">
      <c r="B34" s="811" t="s">
        <v>244</v>
      </c>
      <c r="C34" s="365">
        <f>C28</f>
        <v>-15820218.099999998</v>
      </c>
      <c r="D34" s="365">
        <f t="shared" ref="D34:M34" si="8">SUM(D29:D32)</f>
        <v>0</v>
      </c>
      <c r="E34" s="365">
        <f t="shared" si="8"/>
        <v>98158.28988939221</v>
      </c>
      <c r="F34" s="365">
        <f t="shared" si="8"/>
        <v>2315986.8446038887</v>
      </c>
      <c r="G34" s="365">
        <f t="shared" si="8"/>
        <v>1217164.1132168742</v>
      </c>
      <c r="H34" s="814">
        <f>SUM(H29:H32)</f>
        <v>28388311.209533893</v>
      </c>
      <c r="I34" s="365">
        <f t="shared" si="8"/>
        <v>0</v>
      </c>
      <c r="J34" s="365">
        <f t="shared" si="8"/>
        <v>0</v>
      </c>
      <c r="K34" s="365">
        <f t="shared" si="8"/>
        <v>0</v>
      </c>
      <c r="L34" s="365">
        <f t="shared" si="8"/>
        <v>0</v>
      </c>
      <c r="M34" s="365">
        <f t="shared" si="8"/>
        <v>0</v>
      </c>
      <c r="O34" s="161"/>
      <c r="T34" s="944" t="s">
        <v>22</v>
      </c>
      <c r="U34" s="97">
        <f>'Inputs &amp; Assumptions'!D6*'Inputs &amp; Assumptions'!V5</f>
        <v>886800</v>
      </c>
      <c r="V34" s="821">
        <f t="shared" si="7"/>
        <v>1.7367728399891029E-2</v>
      </c>
      <c r="X34" s="824" t="str">
        <f>'Inputs &amp; Assumptions'!L12</f>
        <v>3x2.5 th R</v>
      </c>
      <c r="Y34" s="10">
        <f>'Inputs &amp; Assumptions'!M12</f>
        <v>59</v>
      </c>
      <c r="Z34" s="3">
        <f>'Inputs &amp; Assumptions'!N12</f>
        <v>1820</v>
      </c>
      <c r="AA34" s="10">
        <f>'Inputs &amp; Assumptions'!O12</f>
        <v>2250</v>
      </c>
      <c r="AB34" s="10">
        <f>'Inputs &amp; Assumptions'!P12</f>
        <v>1612</v>
      </c>
      <c r="AC34" s="382">
        <f>'Inputs &amp; Assumptions'!Q12</f>
        <v>1.1290322580645162</v>
      </c>
      <c r="AD34" s="825">
        <f>'Inputs &amp; Assumptions'!R12</f>
        <v>1.3957816377171215</v>
      </c>
    </row>
    <row r="35" spans="2:30">
      <c r="B35" s="815" t="s">
        <v>245</v>
      </c>
      <c r="C35" s="1122">
        <f>AVERAGE(D35:H35)</f>
        <v>0.08</v>
      </c>
      <c r="D35" s="1123">
        <f>D29/-$C$28</f>
        <v>0</v>
      </c>
      <c r="E35" s="1123">
        <f>E29/-$C$28</f>
        <v>6.2046104085879969E-3</v>
      </c>
      <c r="F35" s="1123">
        <f>F29/-$C$28</f>
        <v>0.14639411605860789</v>
      </c>
      <c r="G35" s="1123">
        <f t="shared" ref="G35:M35" si="9">G29/-$C$28</f>
        <v>7.6937252414799165E-2</v>
      </c>
      <c r="H35" s="1124">
        <f t="shared" si="9"/>
        <v>0.17046402111800496</v>
      </c>
      <c r="I35" s="336">
        <f t="shared" si="9"/>
        <v>0</v>
      </c>
      <c r="J35" s="336">
        <f t="shared" si="9"/>
        <v>0</v>
      </c>
      <c r="K35" s="336">
        <f t="shared" si="9"/>
        <v>0</v>
      </c>
      <c r="L35" s="336">
        <f t="shared" si="9"/>
        <v>0</v>
      </c>
      <c r="M35" s="336">
        <f t="shared" si="9"/>
        <v>0</v>
      </c>
      <c r="O35" s="161"/>
      <c r="T35" s="944" t="s">
        <v>246</v>
      </c>
      <c r="U35" s="97">
        <f>8000000*0.02</f>
        <v>160000</v>
      </c>
      <c r="V35" s="821">
        <f t="shared" si="7"/>
        <v>3.1335549661508397E-3</v>
      </c>
      <c r="X35" s="824"/>
      <c r="Y35" s="10"/>
      <c r="AD35" s="725"/>
    </row>
    <row r="36" spans="2:30" ht="16.5" thickBot="1">
      <c r="B36" s="816" t="s">
        <v>191</v>
      </c>
      <c r="C36" s="453">
        <f>IRR(C34:H34)</f>
        <v>0.15883758134287662</v>
      </c>
      <c r="D36" s="454"/>
      <c r="E36" s="454"/>
      <c r="F36" s="454"/>
      <c r="G36" s="1088"/>
      <c r="H36" s="817"/>
      <c r="I36" s="306">
        <f t="shared" ref="I36:M36" si="10">I34-I33</f>
        <v>0</v>
      </c>
      <c r="J36" s="306">
        <f t="shared" si="10"/>
        <v>0</v>
      </c>
      <c r="K36" s="306">
        <f t="shared" si="10"/>
        <v>0</v>
      </c>
      <c r="L36" s="306">
        <f t="shared" si="10"/>
        <v>0</v>
      </c>
      <c r="M36" s="306">
        <f t="shared" si="10"/>
        <v>0</v>
      </c>
      <c r="O36" s="161"/>
      <c r="T36" s="944" t="s">
        <v>247</v>
      </c>
      <c r="U36" s="97">
        <f>'Inputs &amp; Assumptions'!V33*'Inputs &amp; Assumptions'!V29</f>
        <v>300000</v>
      </c>
      <c r="V36" s="181">
        <f t="shared" si="7"/>
        <v>5.8754155615328247E-3</v>
      </c>
      <c r="X36" s="826"/>
      <c r="Y36" s="827">
        <f>SUM(Y27:Y34)</f>
        <v>200</v>
      </c>
      <c r="Z36" s="828">
        <f>AVERAGE(Z27:Z34)</f>
        <v>1508.5</v>
      </c>
      <c r="AA36" s="828">
        <f t="shared" ref="AA36:AD36" si="11">AVERAGE(AA27:AA34)</f>
        <v>1961.875</v>
      </c>
      <c r="AB36" s="828">
        <f t="shared" si="11"/>
        <v>1288</v>
      </c>
      <c r="AC36" s="829">
        <f t="shared" si="11"/>
        <v>1.1795015876397614</v>
      </c>
      <c r="AD36" s="830">
        <f t="shared" si="11"/>
        <v>1.5363343578552</v>
      </c>
    </row>
    <row r="37" spans="2:30" ht="16.5" thickBot="1">
      <c r="B37" s="818" t="s">
        <v>182</v>
      </c>
      <c r="C37" s="819">
        <f>IRR(C28:M28)</f>
        <v>0.18646569049311901</v>
      </c>
      <c r="D37" s="183"/>
      <c r="E37" s="183"/>
      <c r="F37" s="183"/>
      <c r="G37" s="183"/>
      <c r="H37" s="184"/>
      <c r="I37" s="43"/>
      <c r="J37" s="43"/>
      <c r="K37" s="43"/>
      <c r="L37" s="43"/>
      <c r="M37" s="43"/>
      <c r="O37" s="161"/>
      <c r="T37" s="944" t="s">
        <v>248</v>
      </c>
      <c r="U37" s="97">
        <f>'Inputs &amp; Assumptions'!V29*'Inputs &amp; Assumptions'!V35</f>
        <v>120000</v>
      </c>
      <c r="V37" s="181">
        <f t="shared" si="7"/>
        <v>2.3501662246131296E-3</v>
      </c>
      <c r="X37" s="4"/>
      <c r="Y37" s="4"/>
      <c r="Z37" s="3"/>
      <c r="AA37" s="311"/>
      <c r="AB37" s="360"/>
    </row>
    <row r="38" spans="2:30" ht="16.5" thickBot="1">
      <c r="I38" s="306"/>
      <c r="J38" s="306"/>
      <c r="K38" s="306"/>
      <c r="L38" s="306"/>
      <c r="M38" s="306"/>
      <c r="O38" s="161"/>
      <c r="T38" s="944" t="s">
        <v>249</v>
      </c>
      <c r="U38" s="97">
        <v>60000</v>
      </c>
      <c r="V38" s="181">
        <f t="shared" si="7"/>
        <v>1.1750831123065648E-3</v>
      </c>
      <c r="X38" s="4"/>
      <c r="Y38" s="4"/>
      <c r="Z38" s="3"/>
      <c r="AA38" s="361"/>
      <c r="AB38" s="360"/>
    </row>
    <row r="39" spans="2:30" ht="19.5" thickBot="1">
      <c r="C39" s="715" t="s">
        <v>250</v>
      </c>
      <c r="D39" s="893"/>
      <c r="E39" s="715" t="s">
        <v>251</v>
      </c>
      <c r="F39" s="893"/>
      <c r="G39" s="715"/>
      <c r="H39" s="893"/>
      <c r="O39" s="952" t="s">
        <v>113</v>
      </c>
      <c r="P39" s="953"/>
      <c r="Q39" s="954">
        <f>SUM(Q27:Q32)</f>
        <v>51060218.099999994</v>
      </c>
      <c r="R39" s="955">
        <f>Q39/$Q$39</f>
        <v>1</v>
      </c>
      <c r="S39" s="956" t="s">
        <v>113</v>
      </c>
      <c r="T39" s="957"/>
      <c r="U39" s="954">
        <f>SUM(U27:U38)</f>
        <v>51060218.100000001</v>
      </c>
      <c r="V39" s="958">
        <f t="shared" si="7"/>
        <v>1</v>
      </c>
      <c r="X39" s="4"/>
      <c r="Y39" s="4"/>
      <c r="Z39" s="3"/>
      <c r="AA39" s="311"/>
      <c r="AB39" s="360"/>
    </row>
    <row r="40" spans="2:30">
      <c r="C40" s="1082">
        <f>'Inputs &amp; Assumptions'!W19</f>
        <v>3</v>
      </c>
      <c r="D40" s="1077">
        <f>_xlfn.XLOOKUP('Inputs &amp; Assumptions'!$W$19,'Pro Forma'!$R$3:$EE$3,'Pro Forma'!$R$36:$EE$36)</f>
        <v>3495869.1075827819</v>
      </c>
      <c r="E40" t="s">
        <v>252</v>
      </c>
      <c r="H40" s="725"/>
      <c r="X40" s="4"/>
      <c r="Y40" s="4"/>
      <c r="Z40" s="3"/>
      <c r="AA40" s="311"/>
      <c r="AB40" s="360"/>
    </row>
    <row r="41" spans="2:30">
      <c r="C41" s="1082" t="s">
        <v>253</v>
      </c>
      <c r="D41" s="1077">
        <f>D40/1.25</f>
        <v>2796695.2860662257</v>
      </c>
      <c r="E41" s="38" t="s">
        <v>254</v>
      </c>
      <c r="H41" s="725"/>
      <c r="Q41" s="359"/>
      <c r="X41" s="4"/>
      <c r="Y41" s="4"/>
      <c r="Z41" s="3"/>
      <c r="AA41" s="311"/>
      <c r="AB41" s="360"/>
    </row>
    <row r="42" spans="2:30">
      <c r="C42" s="1084" t="s">
        <v>255</v>
      </c>
      <c r="D42" s="1085">
        <f>-PV('Inputs &amp; Assumptions'!V22,'Inputs &amp; Assumptions'!V23,'Cash Flows &amp; Summary'!D41,)</f>
        <v>38496038.394868031</v>
      </c>
      <c r="E42" t="s">
        <v>256</v>
      </c>
      <c r="H42" s="725"/>
      <c r="Q42" s="359"/>
      <c r="X42" s="4"/>
      <c r="Y42" s="4"/>
      <c r="Z42" s="3"/>
      <c r="AA42" s="311"/>
      <c r="AB42" s="360"/>
    </row>
    <row r="43" spans="2:30">
      <c r="C43" s="161" t="s">
        <v>257</v>
      </c>
      <c r="D43" s="761">
        <f>Amortization!L8</f>
        <v>21940483.686267685</v>
      </c>
      <c r="E43" t="s">
        <v>258</v>
      </c>
      <c r="H43" s="725"/>
      <c r="Q43" s="359"/>
      <c r="X43" s="4"/>
      <c r="Y43" s="4"/>
      <c r="Z43" s="3"/>
      <c r="AA43" s="311"/>
      <c r="AB43" s="360"/>
    </row>
    <row r="44" spans="2:30">
      <c r="C44" s="161" t="s">
        <v>259</v>
      </c>
      <c r="D44" s="1078">
        <f>'7acres Schedule'!H44</f>
        <v>14458314.215037765</v>
      </c>
      <c r="E44" t="s">
        <v>260</v>
      </c>
      <c r="H44" s="725"/>
      <c r="X44" s="4"/>
      <c r="Y44" s="4"/>
      <c r="Z44" s="3"/>
      <c r="AA44" s="311"/>
      <c r="AB44" s="360"/>
    </row>
    <row r="45" spans="2:30">
      <c r="C45" s="161" t="s">
        <v>261</v>
      </c>
      <c r="D45" s="761">
        <f>SUM(D43:D44)*'Inputs &amp; Assumptions'!V25</f>
        <v>363987.97901305452</v>
      </c>
      <c r="E45" t="s">
        <v>55</v>
      </c>
      <c r="H45" s="725"/>
      <c r="X45" s="4"/>
      <c r="Y45" s="4"/>
      <c r="Z45" s="3"/>
      <c r="AA45" s="311"/>
      <c r="AB45" s="360"/>
    </row>
    <row r="46" spans="2:30">
      <c r="C46" s="724" t="s">
        <v>262</v>
      </c>
      <c r="D46" s="1083">
        <f>SUM(D43:D45)</f>
        <v>36762785.880318508</v>
      </c>
      <c r="E46" t="s">
        <v>263</v>
      </c>
      <c r="G46" t="s">
        <v>86</v>
      </c>
      <c r="H46" s="725"/>
      <c r="U46" s="31"/>
      <c r="X46" s="4"/>
      <c r="Y46" s="4"/>
      <c r="Z46" s="3"/>
      <c r="AA46" s="311"/>
      <c r="AB46" s="360"/>
    </row>
    <row r="47" spans="2:30">
      <c r="C47" s="161" t="s">
        <v>215</v>
      </c>
      <c r="D47" s="761">
        <f>-PMT('Inputs &amp; Assumptions'!$V$22,'Inputs &amp; Assumptions'!V23,'Cash Flows &amp; Summary'!D46)</f>
        <v>2670776.3775468171</v>
      </c>
      <c r="E47" t="s">
        <v>264</v>
      </c>
      <c r="F47" s="443"/>
      <c r="H47" s="725"/>
    </row>
    <row r="48" spans="2:30">
      <c r="C48" s="161" t="s">
        <v>265</v>
      </c>
      <c r="D48" s="764">
        <v>1.25</v>
      </c>
      <c r="H48" s="725"/>
      <c r="U48" s="31"/>
      <c r="X48" s="160"/>
      <c r="Y48" s="160"/>
      <c r="Z48" s="160"/>
      <c r="AA48" s="160"/>
      <c r="AB48" s="160"/>
      <c r="AC48" s="160"/>
      <c r="AD48" s="160"/>
    </row>
    <row r="49" spans="3:31">
      <c r="C49" s="1076" t="s">
        <v>266</v>
      </c>
      <c r="D49" s="1079">
        <f>D47*D48</f>
        <v>3338470.4719335213</v>
      </c>
      <c r="E49" t="s">
        <v>267</v>
      </c>
      <c r="H49" s="725"/>
      <c r="X49" s="160"/>
      <c r="Y49" s="160"/>
      <c r="Z49" s="160"/>
      <c r="AA49" s="160"/>
      <c r="AB49" s="160"/>
      <c r="AC49" s="160"/>
      <c r="AD49" s="160"/>
      <c r="AE49" s="160"/>
    </row>
    <row r="50" spans="3:31" ht="16.5" thickBot="1">
      <c r="C50" s="1080" t="s">
        <v>268</v>
      </c>
      <c r="D50" s="1081">
        <f>D40-D49</f>
        <v>157398.6356492606</v>
      </c>
      <c r="E50" t="s">
        <v>269</v>
      </c>
      <c r="H50" s="725"/>
      <c r="X50" s="160"/>
      <c r="Y50" s="160"/>
      <c r="Z50" s="160"/>
      <c r="AA50" s="160"/>
      <c r="AB50" s="160"/>
      <c r="AC50" s="160"/>
      <c r="AD50" s="160"/>
      <c r="AE50" s="160"/>
    </row>
    <row r="51" spans="3:31" ht="16.5" thickBot="1">
      <c r="C51" s="1087" t="s">
        <v>270</v>
      </c>
      <c r="D51" s="1086">
        <f>D42-D46</f>
        <v>1733252.5145495236</v>
      </c>
      <c r="E51" t="s">
        <v>271</v>
      </c>
      <c r="H51" s="725"/>
      <c r="X51" s="160"/>
      <c r="Y51" s="160"/>
      <c r="Z51" s="160"/>
      <c r="AA51" s="160"/>
      <c r="AB51" s="160"/>
      <c r="AC51" s="160"/>
      <c r="AD51" s="160"/>
      <c r="AE51" s="160"/>
    </row>
    <row r="52" spans="3:31">
      <c r="C52" s="161" t="s">
        <v>272</v>
      </c>
      <c r="D52" s="727">
        <f>-SUM(Waterfall!F29:J29)</f>
        <v>-225493.16396902921</v>
      </c>
      <c r="E52" t="s">
        <v>273</v>
      </c>
      <c r="H52" s="725"/>
      <c r="X52" s="160"/>
      <c r="Y52" s="160"/>
      <c r="Z52" s="160"/>
      <c r="AA52" s="160"/>
      <c r="AB52" s="160"/>
      <c r="AC52" s="160"/>
      <c r="AD52" s="160"/>
      <c r="AE52" s="160"/>
    </row>
    <row r="53" spans="3:31">
      <c r="C53" s="161" t="s">
        <v>272</v>
      </c>
      <c r="D53" s="242">
        <f>-SUM(D51:D52)</f>
        <v>-1507759.3505804944</v>
      </c>
      <c r="E53" t="s">
        <v>274</v>
      </c>
      <c r="H53" s="725"/>
      <c r="X53" s="160"/>
      <c r="Y53" s="160"/>
      <c r="Z53" s="160"/>
      <c r="AA53" s="160"/>
      <c r="AB53" s="160"/>
      <c r="AC53" s="160"/>
      <c r="AD53" s="160"/>
      <c r="AE53" s="160"/>
    </row>
    <row r="54" spans="3:31" ht="16.5" thickBot="1">
      <c r="C54" s="1089" t="s">
        <v>241</v>
      </c>
      <c r="D54" s="737">
        <f>U32</f>
        <v>1000000</v>
      </c>
      <c r="H54" s="725"/>
    </row>
    <row r="55" spans="3:31" ht="16.5" thickBot="1">
      <c r="C55" s="1087" t="s">
        <v>275</v>
      </c>
      <c r="D55" s="1086">
        <f>D54-D53</f>
        <v>2507759.3505804944</v>
      </c>
      <c r="E55" s="183" t="s">
        <v>275</v>
      </c>
      <c r="F55" s="183"/>
      <c r="G55" s="183"/>
      <c r="H55" s="184"/>
    </row>
    <row r="56" spans="3:31">
      <c r="D56" s="11"/>
    </row>
  </sheetData>
  <mergeCells count="1">
    <mergeCell ref="O3:V3"/>
  </mergeCells>
  <conditionalFormatting sqref="D50:D51">
    <cfRule type="cellIs" dxfId="24" priority="3" operator="greaterThan">
      <formula>0</formula>
    </cfRule>
    <cfRule type="cellIs" dxfId="23" priority="4" operator="lessThan">
      <formula>0</formula>
    </cfRule>
  </conditionalFormatting>
  <conditionalFormatting sqref="D55">
    <cfRule type="cellIs" dxfId="22" priority="1" operator="greaterThan">
      <formula>0</formula>
    </cfRule>
    <cfRule type="cellIs" dxfId="21" priority="2" operator="lessThan">
      <formula>0</formula>
    </cfRule>
  </conditionalFormatting>
  <conditionalFormatting sqref="N18">
    <cfRule type="cellIs" dxfId="20" priority="5" operator="lessThan">
      <formula>0</formula>
    </cfRule>
  </conditionalFormatting>
  <pageMargins left="0.7" right="0.7" top="0.75" bottom="0.75" header="0.3" footer="0.3"/>
  <pageSetup orientation="portrait" r:id="rId1"/>
  <cellWatches>
    <cellWatch r="S10"/>
    <cellWatch r="S11"/>
    <cellWatch r="S14"/>
    <cellWatch r="S17"/>
    <cellWatch r="S9"/>
    <cellWatch r="S13"/>
    <cellWatch r="S12"/>
    <cellWatch r="S8"/>
    <cellWatch r="S7"/>
    <cellWatch r="T27"/>
    <cellWatch r="V7"/>
    <cellWatch r="S16"/>
    <cellWatch r="S15"/>
    <cellWatch r="S39"/>
    <cellWatch r="T29"/>
    <cellWatch r="S6"/>
    <cellWatch r="V6"/>
    <cellWatch r="S25"/>
    <cellWatch r="S4"/>
    <cellWatch r="S3"/>
    <cellWatch r="S19"/>
    <cellWatch r="X9"/>
    <cellWatch r="T16"/>
    <cellWatch r="T21"/>
    <cellWatch r="T20"/>
    <cellWatch r="T18"/>
    <cellWatch r="U7"/>
    <cellWatch r="X8"/>
    <cellWatch r="U6"/>
    <cellWatch r="AD16"/>
    <cellWatch r="AD17"/>
    <cellWatch r="AD15"/>
    <cellWatch r="AD19"/>
    <cellWatch r="U4"/>
    <cellWatch r="W7"/>
    <cellWatch r="T15"/>
    <cellWatch r="AD14"/>
    <cellWatch r="AD18"/>
    <cellWatch r="AA12"/>
    <cellWatch r="R12"/>
    <cellWatch r="R13"/>
    <cellWatch r="R11"/>
    <cellWatch r="R10"/>
    <cellWatch r="R9"/>
    <cellWatch r="R28"/>
    <cellWatch r="R27"/>
    <cellWatch r="W8"/>
    <cellWatch r="T17"/>
    <cellWatch r="T25"/>
    <cellWatch r="R8"/>
    <cellWatch r="R25"/>
    <cellWatch r="AC16"/>
    <cellWatch r="AC17"/>
    <cellWatch r="AC15"/>
    <cellWatch r="R16"/>
    <cellWatch r="R14"/>
    <cellWatch r="R39"/>
    <cellWatch r="R7"/>
    <cellWatch r="AC19"/>
    <cellWatch r="T4"/>
    <cellWatch r="X13"/>
    <cellWatch r="Y15"/>
    <cellWatch r="V14"/>
    <cellWatch r="W10"/>
    <cellWatch r="U16"/>
    <cellWatch r="U17"/>
    <cellWatch r="X7"/>
    <cellWatch r="V16"/>
    <cellWatch r="V17"/>
    <cellWatch r="V21"/>
    <cellWatch r="W9"/>
    <cellWatch r="V20"/>
    <cellWatch r="V18"/>
    <cellWatch r="V27"/>
    <cellWatch r="W6"/>
    <cellWatch r="V25"/>
    <cellWatch r="AB13"/>
    <cellWatch r="AB16"/>
    <cellWatch r="Y8"/>
    <cellWatch r="X11"/>
    <cellWatch r="V39"/>
    <cellWatch r="V29"/>
    <cellWatch r="Q16"/>
    <cellWatch r="Q27"/>
    <cellWatch r="Q25"/>
    <cellWatch r="T7"/>
    <cellWatch r="T6"/>
    <cellWatch r="Q28"/>
    <cellWatch r="AB19"/>
    <cellWatch r="AB15"/>
    <cellWatch r="AB14"/>
    <cellWatch r="Q14"/>
    <cellWatch r="Q7"/>
    <cellWatch r="AB18"/>
    <cellWatch r="X14"/>
    <cellWatch r="R6"/>
    <cellWatch r="R3"/>
    <cellWatch r="Q39"/>
    <cellWatch r="AB17"/>
    <cellWatch r="Z45"/>
    <cellWatch r="T14"/>
    <cellWatch r="X15"/>
    <cellWatch r="Q12"/>
    <cellWatch r="Q13"/>
    <cellWatch r="P16"/>
    <cellWatch r="Q11"/>
    <cellWatch r="Q10"/>
    <cellWatch r="Q9"/>
    <cellWatch r="Q8"/>
    <cellWatch r="AA15"/>
    <cellWatch r="AA18"/>
    <cellWatch r="AA14"/>
    <cellWatch r="AA13"/>
    <cellWatch r="P14"/>
    <cellWatch r="P7"/>
    <cellWatch r="AA17"/>
    <cellWatch r="X17"/>
    <cellWatch r="X18"/>
    <cellWatch r="X16"/>
    <cellWatch r="T39"/>
    <cellWatch r="W17"/>
    <cellWatch r="W16"/>
    <cellWatch r="Y17"/>
    <cellWatch r="U21"/>
    <cellWatch r="U27"/>
    <cellWatch r="U25"/>
    <cellWatch r="Y16"/>
    <cellWatch r="W18"/>
    <cellWatch r="W19"/>
    <cellWatch r="AA16"/>
    <cellWatch r="AA20"/>
    <cellWatch r="U20"/>
    <cellWatch r="U39"/>
    <cellWatch r="U18"/>
    <cellWatch r="AA29"/>
    <cellWatch r="AD20"/>
    <cellWatch r="AA27"/>
    <cellWatch r="Y18"/>
    <cellWatch r="Z25"/>
    <cellWatch r="AC20"/>
    <cellWatch r="AC18"/>
    <cellWatch r="AB25"/>
    <cellWatch r="Y20"/>
    <cellWatch r="Z27"/>
    <cellWatch r="AB20"/>
    <cellWatch r="Z26"/>
    <cellWatch r="W28"/>
    <cellWatch r="W30"/>
    <cellWatch r="W27"/>
    <cellWatch r="W26"/>
    <cellWatch r="W21"/>
    <cellWatch r="W39"/>
    <cellWatch r="W38"/>
    <cellWatch r="W49"/>
    <cellWatch r="W48"/>
    <cellWatch r="W36"/>
    <cellWatch r="W34"/>
    <cellWatch r="W47"/>
    <cellWatch r="W46"/>
    <cellWatch r="W33"/>
    <cellWatch r="W31"/>
    <cellWatch r="W32"/>
    <cellWatch r="W44"/>
    <cellWatch r="W41"/>
    <cellWatch r="AA9"/>
    <cellWatch r="X20"/>
    <cellWatch r="X10"/>
    <cellWatch r="AA11"/>
    <cellWatch r="Y9"/>
    <cellWatch r="AA8"/>
    <cellWatch r="Y7"/>
    <cellWatch r="U14"/>
    <cellWatch r="AD13"/>
    <cellWatch r="W15"/>
    <cellWatch r="X12"/>
    <cellWatch r="AC13"/>
    <cellWatch r="AA26"/>
    <cellWatch r="AA10"/>
    <cellWatch r="U15"/>
    <cellWatch r="AA7"/>
    <cellWatch r="AD8"/>
    <cellWatch r="AD11"/>
    <cellWatch r="X34"/>
    <cellWatch r="X46"/>
    <cellWatch r="X45"/>
    <cellWatch r="AD7"/>
    <cellWatch r="X33"/>
    <cellWatch r="X32"/>
    <cellWatch r="X44"/>
    <cellWatch r="X43"/>
    <cellWatch r="X31"/>
    <cellWatch r="AC7"/>
    <cellWatch r="AC11"/>
    <cellWatch r="X29"/>
    <cellWatch r="X37"/>
    <cellWatch r="X30"/>
    <cellWatch r="X39"/>
    <cellWatch r="X50"/>
    <cellWatch r="X25"/>
    <cellWatch r="X40"/>
    <cellWatch r="AC14"/>
    <cellWatch r="AD12"/>
    <cellWatch r="AC12"/>
    <cellWatch r="T3"/>
    <cellWatch r="W45"/>
    <cellWatch r="P13"/>
    <cellWatch r="P12"/>
    <cellWatch r="Y14"/>
    <cellWatch r="AD6"/>
    <cellWatch r="AD4"/>
    <cellWatch r="AC3"/>
    <cellWatch r="AC6"/>
    <cellWatch r="AB4"/>
    <cellWatch r="AC10"/>
    <cellWatch r="AC8"/>
    <cellWatch r="AB12"/>
    <cellWatch r="AB11"/>
    <cellWatch r="AB7"/>
    <cellWatch r="AB6"/>
    <cellWatch r="AB10"/>
    <cellWatch r="Y25"/>
    <cellWatch r="AA25"/>
    <cellWatch r="AB8"/>
    <cellWatch r="W3"/>
    <cellWatch r="U3"/>
    <cellWatch r="Y3"/>
    <cellWatch r="Z29"/>
    <cellWatch r="Q6"/>
    <cellWatch r="Q3"/>
    <cellWatch r="P6"/>
    <cellWatch r="P9"/>
    <cellWatch r="P10"/>
    <cellWatch r="P11"/>
    <cellWatch r="P8"/>
    <cellWatch r="P3"/>
    <cellWatch r="V4"/>
    <cellWatch r="V3"/>
    <cellWatch r="W14"/>
    <cellWatch r="P4"/>
    <cellWatch r="AC4"/>
    <cellWatch r="AD10"/>
    <cellWatch r="AA3"/>
    <cellWatch r="AB3"/>
    <cellWatch r="Y26"/>
    <cellWatch r="Y29"/>
    <cellWatch r="Y27"/>
    <cellWatch r="AA33"/>
    <cellWatch r="AA30"/>
    <cellWatch r="AA4"/>
    <cellWatch r="X26"/>
    <cellWatch r="AA32"/>
    <cellWatch r="X27"/>
    <cellWatch r="X3"/>
    <cellWatch r="O39"/>
    <cellWatch r="O28"/>
    <cellWatch r="Y34"/>
    <cellWatch r="Y33"/>
    <cellWatch r="O27"/>
    <cellWatch r="Y32"/>
    <cellWatch r="Y31"/>
    <cellWatch r="O25"/>
    <cellWatch r="Z30"/>
    <cellWatch r="Y39"/>
    <cellWatch r="Y37"/>
    <cellWatch r="Y30"/>
    <cellWatch r="U28"/>
    <cellWatch r="Z34"/>
    <cellWatch r="Z33"/>
    <cellWatch r="Z32"/>
    <cellWatch r="Z31"/>
    <cellWatch r="Z39"/>
    <cellWatch r="Z37"/>
    <cellWatch r="V15"/>
    <cellWatch r="AD3"/>
  </cellWatches>
  <ignoredErrors>
    <ignoredError sqref="D9:G9" formula="1"/>
    <ignoredError sqref="X27:AD34"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F1E4B-82E7-4B19-AD29-4BEAB4F6FD25}">
  <sheetPr>
    <tabColor theme="4" tint="-0.499984740745262"/>
  </sheetPr>
  <dimension ref="C3:J15"/>
  <sheetViews>
    <sheetView showGridLines="0" workbookViewId="0">
      <selection activeCell="J12" sqref="J12"/>
    </sheetView>
  </sheetViews>
  <sheetFormatPr defaultRowHeight="15.75"/>
  <cols>
    <col min="3" max="3" width="13.75" customWidth="1"/>
    <col min="4" max="4" width="11.25" customWidth="1"/>
    <col min="5" max="5" width="15.5" bestFit="1" customWidth="1"/>
    <col min="6" max="6" width="13.5" bestFit="1" customWidth="1"/>
    <col min="7" max="7" width="10.875" bestFit="1" customWidth="1"/>
    <col min="9" max="9" width="9.25" bestFit="1" customWidth="1"/>
    <col min="10" max="10" width="39.125" bestFit="1" customWidth="1"/>
  </cols>
  <sheetData>
    <row r="3" spans="3:10">
      <c r="C3" s="1261" t="s">
        <v>276</v>
      </c>
      <c r="D3" s="1261"/>
      <c r="E3" s="1261"/>
      <c r="F3" s="1261"/>
      <c r="G3" s="1261"/>
      <c r="H3" s="1261"/>
      <c r="I3" s="1261" t="s">
        <v>277</v>
      </c>
      <c r="J3" s="1261"/>
    </row>
    <row r="4" spans="3:10">
      <c r="C4" s="410"/>
      <c r="D4" s="410"/>
      <c r="E4" s="410"/>
      <c r="F4" s="411" t="s">
        <v>278</v>
      </c>
      <c r="G4" s="411" t="s">
        <v>279</v>
      </c>
      <c r="H4" s="411" t="s">
        <v>280</v>
      </c>
      <c r="I4" s="410"/>
      <c r="J4" s="410"/>
    </row>
    <row r="5" spans="3:10">
      <c r="C5" s="408" t="s">
        <v>281</v>
      </c>
      <c r="D5" s="367">
        <f>'Cash Flows &amp; Summary'!AA4</f>
        <v>15820218.099999998</v>
      </c>
      <c r="E5" s="408" t="s">
        <v>282</v>
      </c>
      <c r="F5" s="367">
        <f>'Cash Flows &amp; Summary'!U39</f>
        <v>51060218.100000001</v>
      </c>
      <c r="G5" s="31">
        <f>F5/'Inputs &amp; Assumptions'!$H$4</f>
        <v>255301.09050000002</v>
      </c>
      <c r="H5" s="31">
        <f>'Email Snap Shot'!F5/'Inputs &amp; Assumptions'!$D$9</f>
        <v>179.73380818619583</v>
      </c>
      <c r="I5" s="415">
        <v>45145</v>
      </c>
      <c r="J5" t="s">
        <v>283</v>
      </c>
    </row>
    <row r="6" spans="3:10">
      <c r="C6" s="408" t="s">
        <v>284</v>
      </c>
      <c r="D6" s="202">
        <f>'Cash Flows &amp; Summary'!AA6</f>
        <v>6.4535406276977889E-2</v>
      </c>
      <c r="E6" s="408" t="s">
        <v>285</v>
      </c>
      <c r="F6" s="367">
        <f>'Cash Flows &amp; Summary'!R6</f>
        <v>44340000</v>
      </c>
      <c r="G6" s="31">
        <f>F6/'Inputs &amp; Assumptions'!$H$4</f>
        <v>221700</v>
      </c>
      <c r="H6" s="31">
        <f>'Email Snap Shot'!F6/'Inputs &amp; Assumptions'!$D$9</f>
        <v>156.07839824279802</v>
      </c>
      <c r="I6" s="415">
        <v>45152</v>
      </c>
      <c r="J6" t="s">
        <v>286</v>
      </c>
    </row>
    <row r="7" spans="3:10">
      <c r="C7" s="408" t="s">
        <v>182</v>
      </c>
      <c r="D7" s="359">
        <f>'Cash Flows &amp; Summary'!AA8</f>
        <v>0.18646569049311901</v>
      </c>
      <c r="E7" s="408" t="s">
        <v>287</v>
      </c>
      <c r="F7" s="367">
        <f>'Cash Flows &amp; Summary'!V7</f>
        <v>2814471</v>
      </c>
      <c r="G7" s="31">
        <f>F7/'Inputs &amp; Assumptions'!$H$4</f>
        <v>14072.355</v>
      </c>
      <c r="H7" s="31">
        <f>'Email Snap Shot'!F7/'Inputs &amp; Assumptions'!$D$9</f>
        <v>9.9070393680831295</v>
      </c>
      <c r="I7" s="415">
        <v>45191</v>
      </c>
      <c r="J7" t="s">
        <v>288</v>
      </c>
    </row>
    <row r="8" spans="3:10">
      <c r="C8" s="408" t="s">
        <v>191</v>
      </c>
      <c r="D8" s="359">
        <f>'Cash Flows &amp; Summary'!AA10</f>
        <v>0.15883758134287662</v>
      </c>
      <c r="E8" s="408" t="s">
        <v>208</v>
      </c>
      <c r="F8" s="367">
        <f>'Cash Flows &amp; Summary'!V14</f>
        <v>70643191.166372836</v>
      </c>
      <c r="G8" s="31">
        <f>F8/'Inputs &amp; Assumptions'!$H$4</f>
        <v>353215.95583186415</v>
      </c>
      <c r="H8" s="31">
        <f>'Email Snap Shot'!F8/'Inputs &amp; Assumptions'!$D$9</f>
        <v>248.6665792514039</v>
      </c>
      <c r="I8" s="415">
        <v>45205</v>
      </c>
      <c r="J8" s="474" t="s">
        <v>289</v>
      </c>
    </row>
    <row r="9" spans="3:10">
      <c r="C9" s="408" t="s">
        <v>290</v>
      </c>
      <c r="D9" s="412">
        <f>'Cash Flows &amp; Summary'!AA13</f>
        <v>2.0239683331068647</v>
      </c>
      <c r="I9" s="262" t="s">
        <v>291</v>
      </c>
    </row>
    <row r="10" spans="3:10">
      <c r="C10" s="408" t="s">
        <v>292</v>
      </c>
      <c r="D10" s="359">
        <f>'Cash Flows &amp; Summary'!V21</f>
        <v>5.2499999999999998E-2</v>
      </c>
      <c r="I10" s="415"/>
    </row>
    <row r="11" spans="3:10">
      <c r="C11" s="408" t="s">
        <v>293</v>
      </c>
      <c r="D11" s="359">
        <f>'Cash Flows &amp; Summary'!V18</f>
        <v>0.03</v>
      </c>
      <c r="I11" s="415"/>
    </row>
    <row r="12" spans="3:10">
      <c r="C12" s="408" t="s">
        <v>294</v>
      </c>
      <c r="D12" s="367" t="e">
        <f>'Cash Flows &amp; Summary'!#REF!</f>
        <v>#REF!</v>
      </c>
      <c r="I12" s="415"/>
    </row>
    <row r="13" spans="3:10">
      <c r="C13" s="408" t="s">
        <v>295</v>
      </c>
      <c r="D13" s="413">
        <f>'Cash Flows &amp; Summary'!Q27</f>
        <v>23240000.000000004</v>
      </c>
      <c r="E13" s="407" t="s">
        <v>296</v>
      </c>
    </row>
    <row r="14" spans="3:10">
      <c r="C14" s="408" t="s">
        <v>297</v>
      </c>
      <c r="D14" s="414">
        <f>'Cash Flows &amp; Summary'!R12</f>
        <v>3.9E-2</v>
      </c>
    </row>
    <row r="15" spans="3:10">
      <c r="C15" s="409"/>
      <c r="I15" s="415"/>
    </row>
  </sheetData>
  <mergeCells count="2">
    <mergeCell ref="C3:H3"/>
    <mergeCell ref="I3:J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74629-DB98-D641-A7BB-F32E60422842}">
  <sheetPr codeName="Sheet3">
    <tabColor theme="4" tint="-0.499984740745262"/>
  </sheetPr>
  <dimension ref="A1:FL107"/>
  <sheetViews>
    <sheetView showGridLines="0" zoomScale="80" zoomScaleNormal="80" workbookViewId="0">
      <pane xSplit="4" ySplit="4" topLeftCell="R29" activePane="bottomRight" state="frozen"/>
      <selection pane="topRight" activeCell="Y15" sqref="Y15"/>
      <selection pane="bottomLeft" activeCell="Y15" sqref="Y15"/>
      <selection pane="bottomRight" activeCell="EI32" sqref="EI31:EI32"/>
    </sheetView>
  </sheetViews>
  <sheetFormatPr defaultColWidth="10.875" defaultRowHeight="15.75" outlineLevelCol="1"/>
  <cols>
    <col min="1" max="2" width="2.5" customWidth="1"/>
    <col min="3" max="3" width="16.625" customWidth="1"/>
    <col min="4" max="4" width="9.875" customWidth="1"/>
    <col min="5" max="5" width="14.125" hidden="1" customWidth="1"/>
    <col min="6" max="17" width="14.125" hidden="1" customWidth="1" outlineLevel="1"/>
    <col min="18" max="18" width="14.125" customWidth="1" collapsed="1"/>
    <col min="19" max="30" width="14.125" hidden="1" customWidth="1" outlineLevel="1"/>
    <col min="31" max="31" width="14.125" customWidth="1" collapsed="1"/>
    <col min="32" max="43" width="14.125" hidden="1" customWidth="1" outlineLevel="1"/>
    <col min="44" max="44" width="14.125" customWidth="1" collapsed="1"/>
    <col min="45" max="56" width="14.125" hidden="1" customWidth="1" outlineLevel="1"/>
    <col min="57" max="57" width="14.125" customWidth="1" collapsed="1"/>
    <col min="58" max="69" width="14.125" hidden="1" customWidth="1" outlineLevel="1"/>
    <col min="70" max="70" width="14.125" customWidth="1" collapsed="1"/>
    <col min="71" max="82" width="14.125" hidden="1" customWidth="1" outlineLevel="1"/>
    <col min="83" max="83" width="14.125" customWidth="1" collapsed="1"/>
    <col min="84" max="95" width="14.125" hidden="1" customWidth="1" outlineLevel="1"/>
    <col min="96" max="96" width="14.125" customWidth="1" collapsed="1"/>
    <col min="97" max="108" width="14.125" hidden="1" customWidth="1" outlineLevel="1"/>
    <col min="109" max="109" width="14.125" customWidth="1" collapsed="1"/>
    <col min="110" max="121" width="14.125" hidden="1" customWidth="1" outlineLevel="1"/>
    <col min="122" max="122" width="14.125" customWidth="1" collapsed="1"/>
    <col min="123" max="134" width="14.125" hidden="1" customWidth="1" outlineLevel="1"/>
    <col min="135" max="135" width="14.125" customWidth="1" collapsed="1"/>
    <col min="136" max="138" width="12" customWidth="1"/>
    <col min="139" max="139" width="14.125" customWidth="1"/>
  </cols>
  <sheetData>
    <row r="1" spans="2:168" s="343" customFormat="1" ht="42.75" customHeight="1" thickBot="1">
      <c r="B1" s="345" t="str">
        <f>'Inputs &amp; Assumptions'!D4&amp;" – Pro Forma"</f>
        <v>Madison Overland Park – Pro Forma</v>
      </c>
      <c r="C1" s="351"/>
      <c r="D1" s="352"/>
      <c r="E1" s="352"/>
      <c r="F1" s="352"/>
      <c r="G1" s="352"/>
      <c r="H1" s="352"/>
      <c r="I1" s="352"/>
      <c r="J1" s="352"/>
      <c r="K1" s="352"/>
      <c r="L1" s="352"/>
      <c r="M1" s="352"/>
      <c r="N1" s="352"/>
      <c r="O1" s="352"/>
      <c r="P1" s="352"/>
      <c r="Q1" s="352"/>
      <c r="R1" s="352"/>
      <c r="S1" s="352"/>
      <c r="T1" s="352"/>
      <c r="U1" s="352"/>
      <c r="V1" s="352"/>
      <c r="W1" s="352"/>
      <c r="X1" s="352"/>
      <c r="Y1" s="352"/>
      <c r="Z1" s="352"/>
      <c r="AA1" s="352"/>
      <c r="AB1" s="352"/>
      <c r="AC1" s="352"/>
      <c r="AD1" s="352"/>
      <c r="AE1" s="352"/>
      <c r="AF1" s="352"/>
      <c r="AG1" s="369"/>
      <c r="AH1" s="352"/>
      <c r="AI1" s="352"/>
      <c r="AJ1" s="352"/>
      <c r="AK1" s="352"/>
      <c r="AL1" s="352"/>
      <c r="AM1" s="352"/>
      <c r="AN1" s="352"/>
      <c r="AO1" s="352"/>
      <c r="AP1" s="352"/>
      <c r="AQ1" s="352"/>
      <c r="AR1" s="369"/>
      <c r="AS1" s="352"/>
      <c r="AT1" s="352"/>
      <c r="AU1" s="352"/>
      <c r="AV1" s="352"/>
      <c r="AW1" s="352"/>
      <c r="AX1" s="352"/>
      <c r="AY1" s="352"/>
      <c r="AZ1" s="352"/>
      <c r="BA1" s="352"/>
      <c r="BB1" s="352"/>
      <c r="BC1" s="352"/>
      <c r="BD1" s="352"/>
      <c r="BE1" s="352"/>
      <c r="BF1" s="352"/>
      <c r="BG1" s="352"/>
      <c r="BH1" s="352"/>
      <c r="BI1" s="352"/>
      <c r="BJ1" s="352"/>
      <c r="BK1" s="352"/>
      <c r="BL1" s="352"/>
      <c r="BM1" s="352"/>
      <c r="BN1" s="352"/>
      <c r="BO1" s="352"/>
      <c r="BP1" s="352"/>
      <c r="BQ1" s="352"/>
      <c r="BR1" s="352"/>
      <c r="BS1" s="352"/>
      <c r="BT1" s="352"/>
      <c r="BU1" s="352"/>
      <c r="BV1" s="352"/>
      <c r="BW1" s="352"/>
      <c r="BX1" s="352"/>
      <c r="BY1" s="352"/>
      <c r="BZ1" s="352"/>
      <c r="CA1" s="352"/>
      <c r="CB1" s="352"/>
      <c r="CC1" s="352"/>
      <c r="CD1" s="352"/>
      <c r="CE1" s="352"/>
      <c r="CF1" s="352"/>
      <c r="CG1" s="352"/>
      <c r="CH1" s="352"/>
      <c r="CI1" s="352"/>
      <c r="CJ1" s="352"/>
      <c r="CK1" s="352"/>
      <c r="CL1" s="352"/>
      <c r="CM1" s="352"/>
      <c r="CN1" s="352"/>
      <c r="CO1" s="352"/>
      <c r="CP1" s="352"/>
      <c r="CQ1" s="352"/>
      <c r="CR1" s="352"/>
      <c r="CS1" s="352"/>
      <c r="CT1" s="352"/>
      <c r="CU1" s="352"/>
      <c r="CV1" s="352"/>
      <c r="CW1" s="352"/>
      <c r="CX1" s="352"/>
      <c r="CY1" s="352"/>
      <c r="CZ1" s="352"/>
      <c r="DA1" s="352"/>
      <c r="DB1" s="352"/>
      <c r="DC1" s="352"/>
      <c r="DD1" s="352"/>
      <c r="DE1" s="352"/>
      <c r="DF1" s="352"/>
      <c r="DG1" s="352"/>
      <c r="DH1" s="352"/>
      <c r="DI1" s="352"/>
      <c r="DJ1" s="352"/>
      <c r="DK1" s="352"/>
      <c r="DL1" s="352"/>
      <c r="DM1" s="352"/>
      <c r="DN1" s="352"/>
      <c r="DO1" s="352"/>
      <c r="DP1" s="352"/>
      <c r="DQ1" s="352"/>
      <c r="DR1" s="352"/>
      <c r="DS1" s="352"/>
      <c r="DT1" s="352"/>
      <c r="DU1" s="352"/>
      <c r="DV1" s="352"/>
      <c r="DW1" s="352"/>
      <c r="DX1" s="352"/>
      <c r="DY1" s="352"/>
      <c r="DZ1" s="352"/>
      <c r="EA1" s="352"/>
      <c r="EB1" s="352"/>
      <c r="EC1" s="352"/>
      <c r="ED1" s="352"/>
      <c r="EE1" s="352"/>
      <c r="EF1" s="352"/>
      <c r="EG1" s="352"/>
      <c r="EH1" s="352"/>
      <c r="EI1" s="352"/>
      <c r="EJ1" s="352"/>
      <c r="EK1" s="352"/>
      <c r="EL1" s="352"/>
      <c r="EM1" s="352"/>
      <c r="EN1" s="352"/>
      <c r="EO1" s="352"/>
      <c r="EP1" s="352"/>
      <c r="EQ1" s="352"/>
      <c r="ER1" s="352"/>
      <c r="ES1" s="352"/>
      <c r="ET1" s="352"/>
      <c r="EU1" s="352"/>
      <c r="EV1" s="352"/>
      <c r="EW1" s="352"/>
      <c r="EX1" s="352"/>
      <c r="EY1" s="352"/>
      <c r="EZ1" s="352"/>
      <c r="FA1" s="352"/>
      <c r="FB1" s="352"/>
      <c r="FC1" s="352"/>
      <c r="FD1" s="352"/>
      <c r="FE1" s="352"/>
      <c r="FF1" s="352"/>
      <c r="FG1" s="352"/>
      <c r="FH1" s="352"/>
      <c r="FI1" s="352"/>
      <c r="FJ1" s="352"/>
      <c r="FK1" s="352"/>
      <c r="FL1" s="352"/>
    </row>
    <row r="2" spans="2:168" ht="16.5" thickBot="1">
      <c r="S2" s="202"/>
    </row>
    <row r="3" spans="2:168" ht="15.75" customHeight="1">
      <c r="B3" s="738"/>
      <c r="C3" s="739"/>
      <c r="D3" s="740"/>
      <c r="E3" s="741" t="s">
        <v>298</v>
      </c>
      <c r="F3" s="742" t="s">
        <v>299</v>
      </c>
      <c r="G3" s="742" t="s">
        <v>299</v>
      </c>
      <c r="H3" s="742" t="s">
        <v>299</v>
      </c>
      <c r="I3" s="742" t="s">
        <v>299</v>
      </c>
      <c r="J3" s="742" t="s">
        <v>299</v>
      </c>
      <c r="K3" s="742" t="s">
        <v>299</v>
      </c>
      <c r="L3" s="742" t="s">
        <v>299</v>
      </c>
      <c r="M3" s="742" t="s">
        <v>299</v>
      </c>
      <c r="N3" s="742" t="s">
        <v>299</v>
      </c>
      <c r="O3" s="742" t="s">
        <v>299</v>
      </c>
      <c r="P3" s="742" t="s">
        <v>299</v>
      </c>
      <c r="Q3" s="742" t="s">
        <v>299</v>
      </c>
      <c r="R3" s="1075">
        <v>1</v>
      </c>
      <c r="S3" s="742" t="s">
        <v>299</v>
      </c>
      <c r="T3" s="742" t="s">
        <v>299</v>
      </c>
      <c r="U3" s="742" t="s">
        <v>299</v>
      </c>
      <c r="V3" s="742" t="s">
        <v>299</v>
      </c>
      <c r="W3" s="742" t="s">
        <v>299</v>
      </c>
      <c r="X3" s="742" t="s">
        <v>299</v>
      </c>
      <c r="Y3" s="742" t="s">
        <v>299</v>
      </c>
      <c r="Z3" s="742" t="s">
        <v>299</v>
      </c>
      <c r="AA3" s="742" t="s">
        <v>299</v>
      </c>
      <c r="AB3" s="742" t="s">
        <v>299</v>
      </c>
      <c r="AC3" s="742" t="s">
        <v>299</v>
      </c>
      <c r="AD3" s="742" t="s">
        <v>299</v>
      </c>
      <c r="AE3" s="1075">
        <v>2</v>
      </c>
      <c r="AF3" s="742" t="s">
        <v>299</v>
      </c>
      <c r="AG3" s="742" t="s">
        <v>299</v>
      </c>
      <c r="AH3" s="742" t="s">
        <v>299</v>
      </c>
      <c r="AI3" s="742" t="s">
        <v>299</v>
      </c>
      <c r="AJ3" s="742" t="s">
        <v>299</v>
      </c>
      <c r="AK3" s="742" t="s">
        <v>299</v>
      </c>
      <c r="AL3" s="742" t="s">
        <v>299</v>
      </c>
      <c r="AM3" s="742" t="s">
        <v>299</v>
      </c>
      <c r="AN3" s="742" t="s">
        <v>299</v>
      </c>
      <c r="AO3" s="742" t="s">
        <v>299</v>
      </c>
      <c r="AP3" s="742" t="s">
        <v>299</v>
      </c>
      <c r="AQ3" s="742" t="s">
        <v>299</v>
      </c>
      <c r="AR3" s="1075">
        <v>3</v>
      </c>
      <c r="AS3" s="742" t="s">
        <v>299</v>
      </c>
      <c r="AT3" s="742" t="s">
        <v>299</v>
      </c>
      <c r="AU3" s="742" t="s">
        <v>299</v>
      </c>
      <c r="AV3" s="742" t="s">
        <v>299</v>
      </c>
      <c r="AW3" s="742" t="s">
        <v>299</v>
      </c>
      <c r="AX3" s="742" t="s">
        <v>299</v>
      </c>
      <c r="AY3" s="742" t="s">
        <v>299</v>
      </c>
      <c r="AZ3" s="742" t="s">
        <v>299</v>
      </c>
      <c r="BA3" s="742" t="s">
        <v>299</v>
      </c>
      <c r="BB3" s="742" t="s">
        <v>299</v>
      </c>
      <c r="BC3" s="742" t="s">
        <v>299</v>
      </c>
      <c r="BD3" s="742" t="s">
        <v>299</v>
      </c>
      <c r="BE3" s="1075">
        <v>4</v>
      </c>
      <c r="BF3" s="742" t="s">
        <v>299</v>
      </c>
      <c r="BG3" s="742" t="s">
        <v>299</v>
      </c>
      <c r="BH3" s="742" t="s">
        <v>299</v>
      </c>
      <c r="BI3" s="742" t="s">
        <v>299</v>
      </c>
      <c r="BJ3" s="742" t="s">
        <v>299</v>
      </c>
      <c r="BK3" s="742" t="s">
        <v>299</v>
      </c>
      <c r="BL3" s="742" t="s">
        <v>299</v>
      </c>
      <c r="BM3" s="742" t="s">
        <v>299</v>
      </c>
      <c r="BN3" s="742" t="s">
        <v>299</v>
      </c>
      <c r="BO3" s="742" t="s">
        <v>299</v>
      </c>
      <c r="BP3" s="742" t="s">
        <v>299</v>
      </c>
      <c r="BQ3" s="742" t="s">
        <v>299</v>
      </c>
      <c r="BR3" s="1075">
        <v>5</v>
      </c>
      <c r="BS3" s="742" t="s">
        <v>299</v>
      </c>
      <c r="BT3" s="742" t="s">
        <v>299</v>
      </c>
      <c r="BU3" s="742" t="s">
        <v>299</v>
      </c>
      <c r="BV3" s="742" t="s">
        <v>299</v>
      </c>
      <c r="BW3" s="742" t="s">
        <v>299</v>
      </c>
      <c r="BX3" s="742" t="s">
        <v>299</v>
      </c>
      <c r="BY3" s="742" t="s">
        <v>299</v>
      </c>
      <c r="BZ3" s="742" t="s">
        <v>299</v>
      </c>
      <c r="CA3" s="742" t="s">
        <v>299</v>
      </c>
      <c r="CB3" s="742" t="s">
        <v>299</v>
      </c>
      <c r="CC3" s="742" t="s">
        <v>299</v>
      </c>
      <c r="CD3" s="742" t="s">
        <v>299</v>
      </c>
      <c r="CE3" s="1075">
        <v>6</v>
      </c>
      <c r="CF3" s="742" t="s">
        <v>299</v>
      </c>
      <c r="CG3" s="742" t="s">
        <v>299</v>
      </c>
      <c r="CH3" s="742" t="s">
        <v>299</v>
      </c>
      <c r="CI3" s="742" t="s">
        <v>299</v>
      </c>
      <c r="CJ3" s="742" t="s">
        <v>299</v>
      </c>
      <c r="CK3" s="742" t="s">
        <v>299</v>
      </c>
      <c r="CL3" s="742" t="s">
        <v>299</v>
      </c>
      <c r="CM3" s="742" t="s">
        <v>299</v>
      </c>
      <c r="CN3" s="742" t="s">
        <v>299</v>
      </c>
      <c r="CO3" s="742" t="s">
        <v>299</v>
      </c>
      <c r="CP3" s="742" t="s">
        <v>299</v>
      </c>
      <c r="CQ3" s="742" t="s">
        <v>299</v>
      </c>
      <c r="CR3" s="1075">
        <v>7</v>
      </c>
      <c r="CS3" s="742" t="s">
        <v>299</v>
      </c>
      <c r="CT3" s="742" t="s">
        <v>299</v>
      </c>
      <c r="CU3" s="742" t="s">
        <v>299</v>
      </c>
      <c r="CV3" s="742" t="s">
        <v>299</v>
      </c>
      <c r="CW3" s="742" t="s">
        <v>299</v>
      </c>
      <c r="CX3" s="742" t="s">
        <v>299</v>
      </c>
      <c r="CY3" s="742" t="s">
        <v>299</v>
      </c>
      <c r="CZ3" s="742" t="s">
        <v>299</v>
      </c>
      <c r="DA3" s="742" t="s">
        <v>299</v>
      </c>
      <c r="DB3" s="742" t="s">
        <v>299</v>
      </c>
      <c r="DC3" s="742" t="s">
        <v>299</v>
      </c>
      <c r="DD3" s="742" t="s">
        <v>299</v>
      </c>
      <c r="DE3" s="1075">
        <v>8</v>
      </c>
      <c r="DF3" s="742" t="s">
        <v>299</v>
      </c>
      <c r="DG3" s="742" t="s">
        <v>299</v>
      </c>
      <c r="DH3" s="742" t="s">
        <v>299</v>
      </c>
      <c r="DI3" s="742" t="s">
        <v>299</v>
      </c>
      <c r="DJ3" s="742" t="s">
        <v>299</v>
      </c>
      <c r="DK3" s="742" t="s">
        <v>299</v>
      </c>
      <c r="DL3" s="742" t="s">
        <v>299</v>
      </c>
      <c r="DM3" s="742" t="s">
        <v>299</v>
      </c>
      <c r="DN3" s="742" t="s">
        <v>299</v>
      </c>
      <c r="DO3" s="742" t="s">
        <v>299</v>
      </c>
      <c r="DP3" s="742" t="s">
        <v>299</v>
      </c>
      <c r="DQ3" s="742" t="s">
        <v>299</v>
      </c>
      <c r="DR3" s="1075">
        <v>9</v>
      </c>
      <c r="DS3" s="742" t="s">
        <v>299</v>
      </c>
      <c r="DT3" s="742" t="s">
        <v>299</v>
      </c>
      <c r="DU3" s="742" t="s">
        <v>299</v>
      </c>
      <c r="DV3" s="742" t="s">
        <v>299</v>
      </c>
      <c r="DW3" s="742" t="s">
        <v>299</v>
      </c>
      <c r="DX3" s="742" t="s">
        <v>299</v>
      </c>
      <c r="DY3" s="742" t="s">
        <v>299</v>
      </c>
      <c r="DZ3" s="742" t="s">
        <v>299</v>
      </c>
      <c r="EA3" s="742" t="s">
        <v>299</v>
      </c>
      <c r="EB3" s="742" t="s">
        <v>299</v>
      </c>
      <c r="EC3" s="742" t="s">
        <v>299</v>
      </c>
      <c r="ED3" s="742" t="s">
        <v>299</v>
      </c>
      <c r="EE3" s="1093">
        <v>10</v>
      </c>
    </row>
    <row r="4" spans="2:168" ht="15.75" customHeight="1">
      <c r="B4" s="743"/>
      <c r="C4" s="353"/>
      <c r="D4" s="1094"/>
      <c r="E4" s="1095"/>
      <c r="F4" s="354">
        <v>1</v>
      </c>
      <c r="G4" s="354">
        <v>2</v>
      </c>
      <c r="H4" s="354">
        <v>3</v>
      </c>
      <c r="I4" s="354">
        <v>4</v>
      </c>
      <c r="J4" s="354">
        <v>5</v>
      </c>
      <c r="K4" s="354">
        <v>6</v>
      </c>
      <c r="L4" s="354">
        <v>7</v>
      </c>
      <c r="M4" s="354">
        <v>8</v>
      </c>
      <c r="N4" s="354">
        <v>9</v>
      </c>
      <c r="O4" s="354">
        <v>10</v>
      </c>
      <c r="P4" s="354">
        <v>11</v>
      </c>
      <c r="Q4" s="354">
        <v>12</v>
      </c>
      <c r="R4" s="1096"/>
      <c r="S4" s="354">
        <v>13</v>
      </c>
      <c r="T4" s="354">
        <v>14</v>
      </c>
      <c r="U4" s="354">
        <v>15</v>
      </c>
      <c r="V4" s="354">
        <v>16</v>
      </c>
      <c r="W4" s="354">
        <v>17</v>
      </c>
      <c r="X4" s="354">
        <v>18</v>
      </c>
      <c r="Y4" s="354">
        <v>19</v>
      </c>
      <c r="Z4" s="354">
        <v>20</v>
      </c>
      <c r="AA4" s="354">
        <v>21</v>
      </c>
      <c r="AB4" s="354">
        <v>22</v>
      </c>
      <c r="AC4" s="354">
        <v>23</v>
      </c>
      <c r="AD4" s="354">
        <v>24</v>
      </c>
      <c r="AE4" s="1096"/>
      <c r="AF4" s="354">
        <v>25</v>
      </c>
      <c r="AG4" s="354">
        <v>26</v>
      </c>
      <c r="AH4" s="354">
        <v>27</v>
      </c>
      <c r="AI4" s="354">
        <v>28</v>
      </c>
      <c r="AJ4" s="354">
        <v>29</v>
      </c>
      <c r="AK4" s="354">
        <v>30</v>
      </c>
      <c r="AL4" s="354">
        <v>31</v>
      </c>
      <c r="AM4" s="354">
        <v>32</v>
      </c>
      <c r="AN4" s="354">
        <v>33</v>
      </c>
      <c r="AO4" s="354">
        <v>34</v>
      </c>
      <c r="AP4" s="354">
        <v>35</v>
      </c>
      <c r="AQ4" s="354">
        <v>36</v>
      </c>
      <c r="AR4" s="1096"/>
      <c r="AS4" s="354">
        <v>37</v>
      </c>
      <c r="AT4" s="354">
        <v>38</v>
      </c>
      <c r="AU4" s="354">
        <v>39</v>
      </c>
      <c r="AV4" s="354">
        <v>40</v>
      </c>
      <c r="AW4" s="354">
        <v>41</v>
      </c>
      <c r="AX4" s="354">
        <v>42</v>
      </c>
      <c r="AY4" s="354">
        <v>43</v>
      </c>
      <c r="AZ4" s="354">
        <v>44</v>
      </c>
      <c r="BA4" s="354">
        <v>45</v>
      </c>
      <c r="BB4" s="354">
        <v>46</v>
      </c>
      <c r="BC4" s="354">
        <v>47</v>
      </c>
      <c r="BD4" s="354">
        <v>48</v>
      </c>
      <c r="BE4" s="1096"/>
      <c r="BF4" s="354">
        <v>49</v>
      </c>
      <c r="BG4" s="354">
        <v>50</v>
      </c>
      <c r="BH4" s="354">
        <v>51</v>
      </c>
      <c r="BI4" s="354">
        <v>52</v>
      </c>
      <c r="BJ4" s="354">
        <v>53</v>
      </c>
      <c r="BK4" s="354">
        <v>54</v>
      </c>
      <c r="BL4" s="354">
        <v>55</v>
      </c>
      <c r="BM4" s="354">
        <v>56</v>
      </c>
      <c r="BN4" s="354">
        <v>57</v>
      </c>
      <c r="BO4" s="354">
        <v>58</v>
      </c>
      <c r="BP4" s="354">
        <v>59</v>
      </c>
      <c r="BQ4" s="354">
        <v>60</v>
      </c>
      <c r="BR4" s="1096"/>
      <c r="BS4" s="354">
        <v>61</v>
      </c>
      <c r="BT4" s="354">
        <v>62</v>
      </c>
      <c r="BU4" s="354">
        <v>63</v>
      </c>
      <c r="BV4" s="354">
        <v>64</v>
      </c>
      <c r="BW4" s="354">
        <v>65</v>
      </c>
      <c r="BX4" s="354">
        <v>66</v>
      </c>
      <c r="BY4" s="354">
        <v>67</v>
      </c>
      <c r="BZ4" s="354">
        <v>68</v>
      </c>
      <c r="CA4" s="354">
        <v>69</v>
      </c>
      <c r="CB4" s="354">
        <v>70</v>
      </c>
      <c r="CC4" s="354">
        <v>71</v>
      </c>
      <c r="CD4" s="354">
        <v>72</v>
      </c>
      <c r="CE4" s="1096"/>
      <c r="CF4" s="354">
        <v>73</v>
      </c>
      <c r="CG4" s="354">
        <v>74</v>
      </c>
      <c r="CH4" s="354">
        <v>75</v>
      </c>
      <c r="CI4" s="354">
        <v>76</v>
      </c>
      <c r="CJ4" s="354">
        <v>77</v>
      </c>
      <c r="CK4" s="354">
        <v>78</v>
      </c>
      <c r="CL4" s="354">
        <v>79</v>
      </c>
      <c r="CM4" s="354">
        <v>80</v>
      </c>
      <c r="CN4" s="354">
        <v>81</v>
      </c>
      <c r="CO4" s="354">
        <v>82</v>
      </c>
      <c r="CP4" s="354">
        <v>83</v>
      </c>
      <c r="CQ4" s="354">
        <v>84</v>
      </c>
      <c r="CR4" s="1096"/>
      <c r="CS4" s="354">
        <v>85</v>
      </c>
      <c r="CT4" s="354">
        <v>86</v>
      </c>
      <c r="CU4" s="354">
        <v>87</v>
      </c>
      <c r="CV4" s="354">
        <v>88</v>
      </c>
      <c r="CW4" s="354">
        <v>89</v>
      </c>
      <c r="CX4" s="354">
        <v>90</v>
      </c>
      <c r="CY4" s="354">
        <v>91</v>
      </c>
      <c r="CZ4" s="354">
        <v>92</v>
      </c>
      <c r="DA4" s="354">
        <v>93</v>
      </c>
      <c r="DB4" s="354">
        <v>94</v>
      </c>
      <c r="DC4" s="354">
        <v>95</v>
      </c>
      <c r="DD4" s="354">
        <v>96</v>
      </c>
      <c r="DE4" s="1096"/>
      <c r="DF4" s="354">
        <v>97</v>
      </c>
      <c r="DG4" s="354">
        <v>98</v>
      </c>
      <c r="DH4" s="354">
        <v>99</v>
      </c>
      <c r="DI4" s="354">
        <v>100</v>
      </c>
      <c r="DJ4" s="354">
        <v>101</v>
      </c>
      <c r="DK4" s="354">
        <v>102</v>
      </c>
      <c r="DL4" s="354">
        <v>103</v>
      </c>
      <c r="DM4" s="354">
        <v>104</v>
      </c>
      <c r="DN4" s="354">
        <v>105</v>
      </c>
      <c r="DO4" s="354">
        <v>106</v>
      </c>
      <c r="DP4" s="354">
        <v>107</v>
      </c>
      <c r="DQ4" s="354">
        <v>108</v>
      </c>
      <c r="DR4" s="1096"/>
      <c r="DS4" s="354">
        <v>109</v>
      </c>
      <c r="DT4" s="354">
        <v>110</v>
      </c>
      <c r="DU4" s="354">
        <v>111</v>
      </c>
      <c r="DV4" s="354">
        <v>112</v>
      </c>
      <c r="DW4" s="354">
        <v>113</v>
      </c>
      <c r="DX4" s="354">
        <v>114</v>
      </c>
      <c r="DY4" s="354">
        <v>115</v>
      </c>
      <c r="DZ4" s="354">
        <v>116</v>
      </c>
      <c r="EA4" s="354">
        <v>117</v>
      </c>
      <c r="EB4" s="354">
        <v>118</v>
      </c>
      <c r="EC4" s="354">
        <v>119</v>
      </c>
      <c r="ED4" s="354">
        <v>120</v>
      </c>
      <c r="EE4" s="744"/>
    </row>
    <row r="5" spans="2:168">
      <c r="B5" s="745" t="s">
        <v>300</v>
      </c>
      <c r="C5" s="1097"/>
      <c r="D5" s="1097"/>
      <c r="E5" s="1097" t="s">
        <v>86</v>
      </c>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355">
        <f>AE6/R6-1</f>
        <v>2.9999999999999805E-2</v>
      </c>
      <c r="AF5" s="1056"/>
      <c r="AG5" s="1056"/>
      <c r="AH5" s="1056"/>
      <c r="AI5" s="1056"/>
      <c r="AJ5" s="1056"/>
      <c r="AK5" s="1056"/>
      <c r="AL5" s="1056"/>
      <c r="AM5" s="1056"/>
      <c r="AN5" s="1056"/>
      <c r="AO5" s="1056"/>
      <c r="AP5" s="1056"/>
      <c r="AQ5" s="1056"/>
      <c r="AR5" s="355">
        <f>AR6/AE6-1</f>
        <v>3.0000000000000249E-2</v>
      </c>
      <c r="AS5" s="1056"/>
      <c r="AT5" s="1056"/>
      <c r="AU5" s="1056"/>
      <c r="AV5" s="1056"/>
      <c r="AW5" s="1056"/>
      <c r="AX5" s="1056"/>
      <c r="AY5" s="1056"/>
      <c r="AZ5" s="1056"/>
      <c r="BA5" s="1056"/>
      <c r="BB5" s="1056"/>
      <c r="BC5" s="1056"/>
      <c r="BD5" s="1056"/>
      <c r="BE5" s="355">
        <f>BE6/AR6-1</f>
        <v>3.0000000000000249E-2</v>
      </c>
      <c r="BF5" s="1056"/>
      <c r="BG5" s="1056"/>
      <c r="BH5" s="1056"/>
      <c r="BI5" s="1056"/>
      <c r="BJ5" s="1056"/>
      <c r="BK5" s="1056"/>
      <c r="BL5" s="1056"/>
      <c r="BM5" s="1056"/>
      <c r="BN5" s="1056"/>
      <c r="BO5" s="1056"/>
      <c r="BP5" s="1056"/>
      <c r="BQ5" s="1056"/>
      <c r="BR5" s="355">
        <f>BR6/BE6-1</f>
        <v>2.9999999999999805E-2</v>
      </c>
      <c r="BS5" s="355"/>
      <c r="BT5" s="355"/>
      <c r="BU5" s="355"/>
      <c r="BV5" s="355"/>
      <c r="BW5" s="355"/>
      <c r="BX5" s="355"/>
      <c r="BY5" s="355"/>
      <c r="BZ5" s="355"/>
      <c r="CA5" s="355"/>
      <c r="CB5" s="355"/>
      <c r="CC5" s="355"/>
      <c r="CD5" s="355"/>
      <c r="CE5" s="355">
        <f>CE6/BR6-1</f>
        <v>2.9999999999999805E-2</v>
      </c>
      <c r="CF5" s="355"/>
      <c r="CG5" s="355"/>
      <c r="CH5" s="355"/>
      <c r="CI5" s="355"/>
      <c r="CJ5" s="355"/>
      <c r="CK5" s="355"/>
      <c r="CL5" s="355"/>
      <c r="CM5" s="355"/>
      <c r="CN5" s="355"/>
      <c r="CO5" s="355"/>
      <c r="CP5" s="355"/>
      <c r="CQ5" s="355"/>
      <c r="CR5" s="355">
        <f>CR6/CE6-1</f>
        <v>2.9999999999999805E-2</v>
      </c>
      <c r="CS5" s="355"/>
      <c r="CT5" s="355"/>
      <c r="CU5" s="355"/>
      <c r="CV5" s="355"/>
      <c r="CW5" s="355"/>
      <c r="CX5" s="355"/>
      <c r="CY5" s="355"/>
      <c r="CZ5" s="355"/>
      <c r="DA5" s="355"/>
      <c r="DB5" s="355"/>
      <c r="DC5" s="355"/>
      <c r="DD5" s="355"/>
      <c r="DE5" s="355">
        <f>DE6/CR6-1</f>
        <v>3.0000000000000471E-2</v>
      </c>
      <c r="DF5" s="355"/>
      <c r="DG5" s="355"/>
      <c r="DH5" s="355"/>
      <c r="DI5" s="355"/>
      <c r="DJ5" s="355"/>
      <c r="DK5" s="355"/>
      <c r="DL5" s="355"/>
      <c r="DM5" s="355"/>
      <c r="DN5" s="355"/>
      <c r="DO5" s="355"/>
      <c r="DP5" s="355"/>
      <c r="DQ5" s="355"/>
      <c r="DR5" s="355">
        <f>DR6/DE6-1</f>
        <v>2.9999999999999361E-2</v>
      </c>
      <c r="DS5" s="355"/>
      <c r="DT5" s="355"/>
      <c r="DU5" s="355"/>
      <c r="DV5" s="355"/>
      <c r="DW5" s="355"/>
      <c r="DX5" s="355"/>
      <c r="DY5" s="355"/>
      <c r="DZ5" s="355"/>
      <c r="EA5" s="355"/>
      <c r="EB5" s="355"/>
      <c r="EC5" s="355"/>
      <c r="ED5" s="355"/>
      <c r="EE5" s="746">
        <f>EE6/DR6-1</f>
        <v>3.0000000000000471E-2</v>
      </c>
    </row>
    <row r="6" spans="2:168">
      <c r="B6" s="161" t="str">
        <f>'Inputs &amp; Assumptions'!$B$17</f>
        <v>Gross Potential Rent</v>
      </c>
      <c r="E6" s="12" t="e">
        <f>'Inputs &amp; Assumptions'!#REF!</f>
        <v>#REF!</v>
      </c>
      <c r="F6" s="12">
        <f>'Inputs &amp; Assumptions'!F17/12</f>
        <v>418960</v>
      </c>
      <c r="G6" s="12">
        <f>F6</f>
        <v>418960</v>
      </c>
      <c r="H6" s="12">
        <f t="shared" ref="H6:P6" si="0">G6</f>
        <v>418960</v>
      </c>
      <c r="I6" s="12">
        <f t="shared" si="0"/>
        <v>418960</v>
      </c>
      <c r="J6" s="12">
        <f t="shared" si="0"/>
        <v>418960</v>
      </c>
      <c r="K6" s="12">
        <f t="shared" si="0"/>
        <v>418960</v>
      </c>
      <c r="L6" s="12">
        <f t="shared" si="0"/>
        <v>418960</v>
      </c>
      <c r="M6" s="12">
        <f t="shared" si="0"/>
        <v>418960</v>
      </c>
      <c r="N6" s="12">
        <f t="shared" si="0"/>
        <v>418960</v>
      </c>
      <c r="O6" s="12">
        <f t="shared" si="0"/>
        <v>418960</v>
      </c>
      <c r="P6" s="12">
        <f t="shared" si="0"/>
        <v>418960</v>
      </c>
      <c r="Q6" s="12">
        <f>P6</f>
        <v>418960</v>
      </c>
      <c r="R6" s="12">
        <f>SUM(F6:Q6)</f>
        <v>5027520</v>
      </c>
      <c r="S6" s="12">
        <f>Q6*(1+'Inputs &amp; Assumptions'!$V$71)</f>
        <v>431528.8</v>
      </c>
      <c r="T6" s="12">
        <f>S6</f>
        <v>431528.8</v>
      </c>
      <c r="U6" s="12">
        <f t="shared" ref="U6:AD6" si="1">T6</f>
        <v>431528.8</v>
      </c>
      <c r="V6" s="12">
        <f t="shared" si="1"/>
        <v>431528.8</v>
      </c>
      <c r="W6" s="12">
        <f t="shared" si="1"/>
        <v>431528.8</v>
      </c>
      <c r="X6" s="12">
        <f t="shared" si="1"/>
        <v>431528.8</v>
      </c>
      <c r="Y6" s="12">
        <f t="shared" si="1"/>
        <v>431528.8</v>
      </c>
      <c r="Z6" s="12">
        <f t="shared" si="1"/>
        <v>431528.8</v>
      </c>
      <c r="AA6" s="12">
        <f t="shared" si="1"/>
        <v>431528.8</v>
      </c>
      <c r="AB6" s="12">
        <f t="shared" si="1"/>
        <v>431528.8</v>
      </c>
      <c r="AC6" s="12">
        <f t="shared" si="1"/>
        <v>431528.8</v>
      </c>
      <c r="AD6" s="12">
        <f t="shared" si="1"/>
        <v>431528.8</v>
      </c>
      <c r="AE6" s="12">
        <f>SUM(S6:AD6)</f>
        <v>5178345.5999999987</v>
      </c>
      <c r="AF6" s="12">
        <f>AD6*(1+'Inputs &amp; Assumptions'!$V$72)</f>
        <v>444474.66399999999</v>
      </c>
      <c r="AG6" s="12">
        <f>AF6</f>
        <v>444474.66399999999</v>
      </c>
      <c r="AH6" s="12">
        <f t="shared" ref="AH6:AQ6" si="2">AG6</f>
        <v>444474.66399999999</v>
      </c>
      <c r="AI6" s="12">
        <f t="shared" si="2"/>
        <v>444474.66399999999</v>
      </c>
      <c r="AJ6" s="12">
        <f t="shared" si="2"/>
        <v>444474.66399999999</v>
      </c>
      <c r="AK6" s="12">
        <f t="shared" si="2"/>
        <v>444474.66399999999</v>
      </c>
      <c r="AL6" s="12">
        <f t="shared" si="2"/>
        <v>444474.66399999999</v>
      </c>
      <c r="AM6" s="12">
        <f t="shared" si="2"/>
        <v>444474.66399999999</v>
      </c>
      <c r="AN6" s="12">
        <f t="shared" si="2"/>
        <v>444474.66399999999</v>
      </c>
      <c r="AO6" s="12">
        <f t="shared" si="2"/>
        <v>444474.66399999999</v>
      </c>
      <c r="AP6" s="12">
        <f t="shared" si="2"/>
        <v>444474.66399999999</v>
      </c>
      <c r="AQ6" s="12">
        <f t="shared" si="2"/>
        <v>444474.66399999999</v>
      </c>
      <c r="AR6" s="12">
        <f>SUM(AF6:AQ6)</f>
        <v>5333695.9679999994</v>
      </c>
      <c r="AS6" s="12">
        <f>AQ6*(1+'Inputs &amp; Assumptions'!$V$73)</f>
        <v>457808.90392000001</v>
      </c>
      <c r="AT6" s="12">
        <f>AS6</f>
        <v>457808.90392000001</v>
      </c>
      <c r="AU6" s="12">
        <f t="shared" ref="AU6:BD6" si="3">AT6</f>
        <v>457808.90392000001</v>
      </c>
      <c r="AV6" s="12">
        <f t="shared" si="3"/>
        <v>457808.90392000001</v>
      </c>
      <c r="AW6" s="12">
        <f t="shared" si="3"/>
        <v>457808.90392000001</v>
      </c>
      <c r="AX6" s="12">
        <f t="shared" si="3"/>
        <v>457808.90392000001</v>
      </c>
      <c r="AY6" s="12">
        <f t="shared" si="3"/>
        <v>457808.90392000001</v>
      </c>
      <c r="AZ6" s="12">
        <f t="shared" si="3"/>
        <v>457808.90392000001</v>
      </c>
      <c r="BA6" s="12">
        <f t="shared" si="3"/>
        <v>457808.90392000001</v>
      </c>
      <c r="BB6" s="12">
        <f t="shared" si="3"/>
        <v>457808.90392000001</v>
      </c>
      <c r="BC6" s="12">
        <f t="shared" si="3"/>
        <v>457808.90392000001</v>
      </c>
      <c r="BD6" s="12">
        <f t="shared" si="3"/>
        <v>457808.90392000001</v>
      </c>
      <c r="BE6" s="12">
        <f>SUM(AS6:BD6)</f>
        <v>5493706.8470400013</v>
      </c>
      <c r="BF6" s="12">
        <f>BD6*(1+'Inputs &amp; Assumptions'!$V$74)</f>
        <v>471543.17103760003</v>
      </c>
      <c r="BG6" s="12">
        <f>BF6</f>
        <v>471543.17103760003</v>
      </c>
      <c r="BH6" s="12">
        <f t="shared" ref="BH6:BQ6" si="4">BG6</f>
        <v>471543.17103760003</v>
      </c>
      <c r="BI6" s="12">
        <f t="shared" si="4"/>
        <v>471543.17103760003</v>
      </c>
      <c r="BJ6" s="12">
        <f t="shared" si="4"/>
        <v>471543.17103760003</v>
      </c>
      <c r="BK6" s="12">
        <f t="shared" si="4"/>
        <v>471543.17103760003</v>
      </c>
      <c r="BL6" s="12">
        <f t="shared" si="4"/>
        <v>471543.17103760003</v>
      </c>
      <c r="BM6" s="12">
        <f t="shared" si="4"/>
        <v>471543.17103760003</v>
      </c>
      <c r="BN6" s="12">
        <f t="shared" si="4"/>
        <v>471543.17103760003</v>
      </c>
      <c r="BO6" s="12">
        <f t="shared" si="4"/>
        <v>471543.17103760003</v>
      </c>
      <c r="BP6" s="12">
        <f t="shared" si="4"/>
        <v>471543.17103760003</v>
      </c>
      <c r="BQ6" s="12">
        <f t="shared" si="4"/>
        <v>471543.17103760003</v>
      </c>
      <c r="BR6" s="12">
        <f>SUM(BF6:BQ6)</f>
        <v>5658518.0524512008</v>
      </c>
      <c r="BS6" s="12">
        <f>BQ6*(1+'Inputs &amp; Assumptions'!$V$74)</f>
        <v>485689.46616872802</v>
      </c>
      <c r="BT6" s="12">
        <f>BS6</f>
        <v>485689.46616872802</v>
      </c>
      <c r="BU6" s="12">
        <f t="shared" ref="BU6:CD6" si="5">BT6</f>
        <v>485689.46616872802</v>
      </c>
      <c r="BV6" s="12">
        <f t="shared" si="5"/>
        <v>485689.46616872802</v>
      </c>
      <c r="BW6" s="12">
        <f t="shared" si="5"/>
        <v>485689.46616872802</v>
      </c>
      <c r="BX6" s="12">
        <f t="shared" si="5"/>
        <v>485689.46616872802</v>
      </c>
      <c r="BY6" s="12">
        <f t="shared" si="5"/>
        <v>485689.46616872802</v>
      </c>
      <c r="BZ6" s="12">
        <f t="shared" si="5"/>
        <v>485689.46616872802</v>
      </c>
      <c r="CA6" s="12">
        <f t="shared" si="5"/>
        <v>485689.46616872802</v>
      </c>
      <c r="CB6" s="12">
        <f t="shared" si="5"/>
        <v>485689.46616872802</v>
      </c>
      <c r="CC6" s="12">
        <f t="shared" si="5"/>
        <v>485689.46616872802</v>
      </c>
      <c r="CD6" s="12">
        <f t="shared" si="5"/>
        <v>485689.46616872802</v>
      </c>
      <c r="CE6" s="12">
        <f>SUM(BS6:CD6)</f>
        <v>5828273.5940247355</v>
      </c>
      <c r="CF6" s="12">
        <f>CD6*(1+'Inputs &amp; Assumptions'!$V$74)</f>
        <v>500260.15015378984</v>
      </c>
      <c r="CG6" s="12">
        <f>CF6</f>
        <v>500260.15015378984</v>
      </c>
      <c r="CH6" s="12">
        <f t="shared" ref="CH6:CQ6" si="6">CG6</f>
        <v>500260.15015378984</v>
      </c>
      <c r="CI6" s="12">
        <f t="shared" si="6"/>
        <v>500260.15015378984</v>
      </c>
      <c r="CJ6" s="12">
        <f t="shared" si="6"/>
        <v>500260.15015378984</v>
      </c>
      <c r="CK6" s="12">
        <f t="shared" si="6"/>
        <v>500260.15015378984</v>
      </c>
      <c r="CL6" s="12">
        <f t="shared" si="6"/>
        <v>500260.15015378984</v>
      </c>
      <c r="CM6" s="12">
        <f t="shared" si="6"/>
        <v>500260.15015378984</v>
      </c>
      <c r="CN6" s="12">
        <f t="shared" si="6"/>
        <v>500260.15015378984</v>
      </c>
      <c r="CO6" s="12">
        <f t="shared" si="6"/>
        <v>500260.15015378984</v>
      </c>
      <c r="CP6" s="12">
        <f t="shared" si="6"/>
        <v>500260.15015378984</v>
      </c>
      <c r="CQ6" s="12">
        <f t="shared" si="6"/>
        <v>500260.15015378984</v>
      </c>
      <c r="CR6" s="12">
        <f>SUM(CF6:CQ6)</f>
        <v>6003121.801845477</v>
      </c>
      <c r="CS6" s="12">
        <f>CQ6*(1+'Inputs &amp; Assumptions'!$V$74)</f>
        <v>515267.95465840353</v>
      </c>
      <c r="CT6" s="12">
        <f>CS6</f>
        <v>515267.95465840353</v>
      </c>
      <c r="CU6" s="12">
        <f t="shared" ref="CU6:DD6" si="7">CT6</f>
        <v>515267.95465840353</v>
      </c>
      <c r="CV6" s="12">
        <f t="shared" si="7"/>
        <v>515267.95465840353</v>
      </c>
      <c r="CW6" s="12">
        <f t="shared" si="7"/>
        <v>515267.95465840353</v>
      </c>
      <c r="CX6" s="12">
        <f t="shared" si="7"/>
        <v>515267.95465840353</v>
      </c>
      <c r="CY6" s="12">
        <f t="shared" si="7"/>
        <v>515267.95465840353</v>
      </c>
      <c r="CZ6" s="12">
        <f t="shared" si="7"/>
        <v>515267.95465840353</v>
      </c>
      <c r="DA6" s="12">
        <f t="shared" si="7"/>
        <v>515267.95465840353</v>
      </c>
      <c r="DB6" s="12">
        <f t="shared" si="7"/>
        <v>515267.95465840353</v>
      </c>
      <c r="DC6" s="12">
        <f t="shared" si="7"/>
        <v>515267.95465840353</v>
      </c>
      <c r="DD6" s="12">
        <f t="shared" si="7"/>
        <v>515267.95465840353</v>
      </c>
      <c r="DE6" s="12">
        <f>SUM(CS6:DD6)</f>
        <v>6183215.4559008442</v>
      </c>
      <c r="DF6" s="12">
        <f>DD6*(1+'Inputs &amp; Assumptions'!$V$74)</f>
        <v>530725.9932981556</v>
      </c>
      <c r="DG6" s="12">
        <f>DF6</f>
        <v>530725.9932981556</v>
      </c>
      <c r="DH6" s="12">
        <f t="shared" ref="DH6:DQ6" si="8">DG6</f>
        <v>530725.9932981556</v>
      </c>
      <c r="DI6" s="12">
        <f t="shared" si="8"/>
        <v>530725.9932981556</v>
      </c>
      <c r="DJ6" s="12">
        <f t="shared" si="8"/>
        <v>530725.9932981556</v>
      </c>
      <c r="DK6" s="12">
        <f t="shared" si="8"/>
        <v>530725.9932981556</v>
      </c>
      <c r="DL6" s="12">
        <f t="shared" si="8"/>
        <v>530725.9932981556</v>
      </c>
      <c r="DM6" s="12">
        <f t="shared" si="8"/>
        <v>530725.9932981556</v>
      </c>
      <c r="DN6" s="12">
        <f t="shared" si="8"/>
        <v>530725.9932981556</v>
      </c>
      <c r="DO6" s="12">
        <f t="shared" si="8"/>
        <v>530725.9932981556</v>
      </c>
      <c r="DP6" s="12">
        <f t="shared" si="8"/>
        <v>530725.9932981556</v>
      </c>
      <c r="DQ6" s="12">
        <f t="shared" si="8"/>
        <v>530725.9932981556</v>
      </c>
      <c r="DR6" s="12">
        <f>SUM(DF6:DQ6)</f>
        <v>6368711.9195778659</v>
      </c>
      <c r="DS6" s="12">
        <f>DQ6*(1+'Inputs &amp; Assumptions'!$V$74)</f>
        <v>546647.77309710032</v>
      </c>
      <c r="DT6" s="12">
        <f>DS6</f>
        <v>546647.77309710032</v>
      </c>
      <c r="DU6" s="12">
        <f t="shared" ref="DU6:ED6" si="9">DT6</f>
        <v>546647.77309710032</v>
      </c>
      <c r="DV6" s="12">
        <f t="shared" si="9"/>
        <v>546647.77309710032</v>
      </c>
      <c r="DW6" s="12">
        <f t="shared" si="9"/>
        <v>546647.77309710032</v>
      </c>
      <c r="DX6" s="12">
        <f t="shared" si="9"/>
        <v>546647.77309710032</v>
      </c>
      <c r="DY6" s="12">
        <f t="shared" si="9"/>
        <v>546647.77309710032</v>
      </c>
      <c r="DZ6" s="12">
        <f t="shared" si="9"/>
        <v>546647.77309710032</v>
      </c>
      <c r="EA6" s="12">
        <f t="shared" si="9"/>
        <v>546647.77309710032</v>
      </c>
      <c r="EB6" s="12">
        <f t="shared" si="9"/>
        <v>546647.77309710032</v>
      </c>
      <c r="EC6" s="12">
        <f t="shared" si="9"/>
        <v>546647.77309710032</v>
      </c>
      <c r="ED6" s="12">
        <f t="shared" si="9"/>
        <v>546647.77309710032</v>
      </c>
      <c r="EE6" s="242">
        <f>SUM(DS6:ED6)</f>
        <v>6559773.2771652052</v>
      </c>
      <c r="EF6" s="11"/>
    </row>
    <row r="7" spans="2:168" ht="15" customHeight="1">
      <c r="B7" s="187" t="str">
        <f>'Inputs &amp; Assumptions'!B18</f>
        <v>RUBS</v>
      </c>
      <c r="C7" s="1056"/>
      <c r="D7" s="1056"/>
      <c r="E7" s="156" t="e">
        <f>'Inputs &amp; Assumptions'!#REF!</f>
        <v>#REF!</v>
      </c>
      <c r="F7" s="156">
        <f>'Inputs &amp; Assumptions'!F18/12</f>
        <v>18358.773333333334</v>
      </c>
      <c r="G7" s="156">
        <f>F7</f>
        <v>18358.773333333334</v>
      </c>
      <c r="H7" s="156">
        <f t="shared" ref="H7:Q7" si="10">G7</f>
        <v>18358.773333333334</v>
      </c>
      <c r="I7" s="156">
        <f t="shared" si="10"/>
        <v>18358.773333333334</v>
      </c>
      <c r="J7" s="156">
        <f t="shared" si="10"/>
        <v>18358.773333333334</v>
      </c>
      <c r="K7" s="156">
        <f t="shared" si="10"/>
        <v>18358.773333333334</v>
      </c>
      <c r="L7" s="156">
        <f t="shared" si="10"/>
        <v>18358.773333333334</v>
      </c>
      <c r="M7" s="156">
        <f t="shared" si="10"/>
        <v>18358.773333333334</v>
      </c>
      <c r="N7" s="156">
        <f t="shared" si="10"/>
        <v>18358.773333333334</v>
      </c>
      <c r="O7" s="156">
        <f t="shared" si="10"/>
        <v>18358.773333333334</v>
      </c>
      <c r="P7" s="156">
        <f t="shared" si="10"/>
        <v>18358.773333333334</v>
      </c>
      <c r="Q7" s="156">
        <f t="shared" si="10"/>
        <v>18358.773333333334</v>
      </c>
      <c r="R7" s="156">
        <f>SUM(F7:Q7)</f>
        <v>220305.28000000006</v>
      </c>
      <c r="S7" s="156">
        <f>Q7*(1+'Inputs &amp; Assumptions'!$V$71)</f>
        <v>18909.536533333336</v>
      </c>
      <c r="T7" s="156">
        <f>S7</f>
        <v>18909.536533333336</v>
      </c>
      <c r="U7" s="156">
        <f t="shared" ref="U7:AD7" si="11">T7</f>
        <v>18909.536533333336</v>
      </c>
      <c r="V7" s="156">
        <f t="shared" si="11"/>
        <v>18909.536533333336</v>
      </c>
      <c r="W7" s="156">
        <f t="shared" si="11"/>
        <v>18909.536533333336</v>
      </c>
      <c r="X7" s="156">
        <f t="shared" si="11"/>
        <v>18909.536533333336</v>
      </c>
      <c r="Y7" s="156">
        <f t="shared" si="11"/>
        <v>18909.536533333336</v>
      </c>
      <c r="Z7" s="156">
        <f t="shared" si="11"/>
        <v>18909.536533333336</v>
      </c>
      <c r="AA7" s="156">
        <f t="shared" si="11"/>
        <v>18909.536533333336</v>
      </c>
      <c r="AB7" s="156">
        <f t="shared" si="11"/>
        <v>18909.536533333336</v>
      </c>
      <c r="AC7" s="156">
        <f t="shared" si="11"/>
        <v>18909.536533333336</v>
      </c>
      <c r="AD7" s="156">
        <f t="shared" si="11"/>
        <v>18909.536533333336</v>
      </c>
      <c r="AE7" s="156">
        <f>SUM(S7:AD7)</f>
        <v>226914.43840000001</v>
      </c>
      <c r="AF7" s="156">
        <f>AD7*(1+'Inputs &amp; Assumptions'!$V$72)</f>
        <v>19476.822629333335</v>
      </c>
      <c r="AG7" s="156">
        <f>AF7</f>
        <v>19476.822629333335</v>
      </c>
      <c r="AH7" s="156">
        <f t="shared" ref="AH7:AQ7" si="12">AG7</f>
        <v>19476.822629333335</v>
      </c>
      <c r="AI7" s="156">
        <f t="shared" si="12"/>
        <v>19476.822629333335</v>
      </c>
      <c r="AJ7" s="156">
        <f t="shared" si="12"/>
        <v>19476.822629333335</v>
      </c>
      <c r="AK7" s="156">
        <f t="shared" si="12"/>
        <v>19476.822629333335</v>
      </c>
      <c r="AL7" s="156">
        <f t="shared" si="12"/>
        <v>19476.822629333335</v>
      </c>
      <c r="AM7" s="156">
        <f t="shared" si="12"/>
        <v>19476.822629333335</v>
      </c>
      <c r="AN7" s="156">
        <f t="shared" si="12"/>
        <v>19476.822629333335</v>
      </c>
      <c r="AO7" s="156">
        <f t="shared" si="12"/>
        <v>19476.822629333335</v>
      </c>
      <c r="AP7" s="156">
        <f t="shared" si="12"/>
        <v>19476.822629333335</v>
      </c>
      <c r="AQ7" s="156">
        <f t="shared" si="12"/>
        <v>19476.822629333335</v>
      </c>
      <c r="AR7" s="156">
        <f>SUM(AF7:AQ7)</f>
        <v>233721.87155199997</v>
      </c>
      <c r="AS7" s="156">
        <f>AQ7*(1+'Inputs &amp; Assumptions'!$V$73)</f>
        <v>20061.127308213338</v>
      </c>
      <c r="AT7" s="156">
        <f>AS7</f>
        <v>20061.127308213338</v>
      </c>
      <c r="AU7" s="156">
        <f t="shared" ref="AU7:BD7" si="13">AT7</f>
        <v>20061.127308213338</v>
      </c>
      <c r="AV7" s="156">
        <f t="shared" si="13"/>
        <v>20061.127308213338</v>
      </c>
      <c r="AW7" s="156">
        <f t="shared" si="13"/>
        <v>20061.127308213338</v>
      </c>
      <c r="AX7" s="156">
        <f t="shared" si="13"/>
        <v>20061.127308213338</v>
      </c>
      <c r="AY7" s="156">
        <f t="shared" si="13"/>
        <v>20061.127308213338</v>
      </c>
      <c r="AZ7" s="156">
        <f t="shared" si="13"/>
        <v>20061.127308213338</v>
      </c>
      <c r="BA7" s="156">
        <f t="shared" si="13"/>
        <v>20061.127308213338</v>
      </c>
      <c r="BB7" s="156">
        <f t="shared" si="13"/>
        <v>20061.127308213338</v>
      </c>
      <c r="BC7" s="156">
        <f t="shared" si="13"/>
        <v>20061.127308213338</v>
      </c>
      <c r="BD7" s="156">
        <f t="shared" si="13"/>
        <v>20061.127308213338</v>
      </c>
      <c r="BE7" s="156">
        <f>SUM(AS7:BD7)</f>
        <v>240733.52769856001</v>
      </c>
      <c r="BF7" s="156">
        <f>BD7*(1+'Inputs &amp; Assumptions'!$V$74)</f>
        <v>20662.961127459737</v>
      </c>
      <c r="BG7" s="156">
        <f>BF7</f>
        <v>20662.961127459737</v>
      </c>
      <c r="BH7" s="156">
        <f t="shared" ref="BH7:BQ7" si="14">BG7</f>
        <v>20662.961127459737</v>
      </c>
      <c r="BI7" s="156">
        <f t="shared" si="14"/>
        <v>20662.961127459737</v>
      </c>
      <c r="BJ7" s="156">
        <f t="shared" si="14"/>
        <v>20662.961127459737</v>
      </c>
      <c r="BK7" s="156">
        <f t="shared" si="14"/>
        <v>20662.961127459737</v>
      </c>
      <c r="BL7" s="156">
        <f t="shared" si="14"/>
        <v>20662.961127459737</v>
      </c>
      <c r="BM7" s="156">
        <f t="shared" si="14"/>
        <v>20662.961127459737</v>
      </c>
      <c r="BN7" s="156">
        <f t="shared" si="14"/>
        <v>20662.961127459737</v>
      </c>
      <c r="BO7" s="156">
        <f t="shared" si="14"/>
        <v>20662.961127459737</v>
      </c>
      <c r="BP7" s="156">
        <f t="shared" si="14"/>
        <v>20662.961127459737</v>
      </c>
      <c r="BQ7" s="156">
        <f t="shared" si="14"/>
        <v>20662.961127459737</v>
      </c>
      <c r="BR7" s="156">
        <f>SUM(BF7:BQ7)</f>
        <v>247955.53352951686</v>
      </c>
      <c r="BS7" s="156">
        <f>BQ7*(1+'Inputs &amp; Assumptions'!$V$74)</f>
        <v>21282.849961283529</v>
      </c>
      <c r="BT7" s="156">
        <f>BS7</f>
        <v>21282.849961283529</v>
      </c>
      <c r="BU7" s="156">
        <f t="shared" ref="BU7:CD7" si="15">BT7</f>
        <v>21282.849961283529</v>
      </c>
      <c r="BV7" s="156">
        <f t="shared" si="15"/>
        <v>21282.849961283529</v>
      </c>
      <c r="BW7" s="156">
        <f t="shared" si="15"/>
        <v>21282.849961283529</v>
      </c>
      <c r="BX7" s="156">
        <f t="shared" si="15"/>
        <v>21282.849961283529</v>
      </c>
      <c r="BY7" s="156">
        <f t="shared" si="15"/>
        <v>21282.849961283529</v>
      </c>
      <c r="BZ7" s="156">
        <f t="shared" si="15"/>
        <v>21282.849961283529</v>
      </c>
      <c r="CA7" s="156">
        <f t="shared" si="15"/>
        <v>21282.849961283529</v>
      </c>
      <c r="CB7" s="156">
        <f t="shared" si="15"/>
        <v>21282.849961283529</v>
      </c>
      <c r="CC7" s="156">
        <f t="shared" si="15"/>
        <v>21282.849961283529</v>
      </c>
      <c r="CD7" s="156">
        <f t="shared" si="15"/>
        <v>21282.849961283529</v>
      </c>
      <c r="CE7" s="156">
        <f>SUM(BS7:CD7)</f>
        <v>255394.19953540235</v>
      </c>
      <c r="CF7" s="156">
        <f>CD7*(1+'Inputs &amp; Assumptions'!$V$74)</f>
        <v>21921.335460122034</v>
      </c>
      <c r="CG7" s="156">
        <f>CF7</f>
        <v>21921.335460122034</v>
      </c>
      <c r="CH7" s="156">
        <f t="shared" ref="CH7:CQ7" si="16">CG7</f>
        <v>21921.335460122034</v>
      </c>
      <c r="CI7" s="156">
        <f t="shared" si="16"/>
        <v>21921.335460122034</v>
      </c>
      <c r="CJ7" s="156">
        <f t="shared" si="16"/>
        <v>21921.335460122034</v>
      </c>
      <c r="CK7" s="156">
        <f t="shared" si="16"/>
        <v>21921.335460122034</v>
      </c>
      <c r="CL7" s="156">
        <f t="shared" si="16"/>
        <v>21921.335460122034</v>
      </c>
      <c r="CM7" s="156">
        <f t="shared" si="16"/>
        <v>21921.335460122034</v>
      </c>
      <c r="CN7" s="156">
        <f t="shared" si="16"/>
        <v>21921.335460122034</v>
      </c>
      <c r="CO7" s="156">
        <f t="shared" si="16"/>
        <v>21921.335460122034</v>
      </c>
      <c r="CP7" s="156">
        <f t="shared" si="16"/>
        <v>21921.335460122034</v>
      </c>
      <c r="CQ7" s="156">
        <f t="shared" si="16"/>
        <v>21921.335460122034</v>
      </c>
      <c r="CR7" s="156">
        <f>SUM(CF7:CQ7)</f>
        <v>263056.02552146441</v>
      </c>
      <c r="CS7" s="156">
        <f>CQ7*(1+'Inputs &amp; Assumptions'!$V$74)</f>
        <v>22578.975523925696</v>
      </c>
      <c r="CT7" s="156">
        <f>CS7</f>
        <v>22578.975523925696</v>
      </c>
      <c r="CU7" s="156">
        <f t="shared" ref="CU7:DD7" si="17">CT7</f>
        <v>22578.975523925696</v>
      </c>
      <c r="CV7" s="156">
        <f t="shared" si="17"/>
        <v>22578.975523925696</v>
      </c>
      <c r="CW7" s="156">
        <f t="shared" si="17"/>
        <v>22578.975523925696</v>
      </c>
      <c r="CX7" s="156">
        <f t="shared" si="17"/>
        <v>22578.975523925696</v>
      </c>
      <c r="CY7" s="156">
        <f t="shared" si="17"/>
        <v>22578.975523925696</v>
      </c>
      <c r="CZ7" s="156">
        <f t="shared" si="17"/>
        <v>22578.975523925696</v>
      </c>
      <c r="DA7" s="156">
        <f t="shared" si="17"/>
        <v>22578.975523925696</v>
      </c>
      <c r="DB7" s="156">
        <f t="shared" si="17"/>
        <v>22578.975523925696</v>
      </c>
      <c r="DC7" s="156">
        <f t="shared" si="17"/>
        <v>22578.975523925696</v>
      </c>
      <c r="DD7" s="156">
        <f t="shared" si="17"/>
        <v>22578.975523925696</v>
      </c>
      <c r="DE7" s="156">
        <f>SUM(CS7:DD7)</f>
        <v>270947.70628710842</v>
      </c>
      <c r="DF7" s="156">
        <f>DD7*(1+'Inputs &amp; Assumptions'!$V$74)</f>
        <v>23256.344789643466</v>
      </c>
      <c r="DG7" s="156">
        <f>DF7</f>
        <v>23256.344789643466</v>
      </c>
      <c r="DH7" s="156">
        <f t="shared" ref="DH7:DQ7" si="18">DG7</f>
        <v>23256.344789643466</v>
      </c>
      <c r="DI7" s="156">
        <f t="shared" si="18"/>
        <v>23256.344789643466</v>
      </c>
      <c r="DJ7" s="156">
        <f t="shared" si="18"/>
        <v>23256.344789643466</v>
      </c>
      <c r="DK7" s="156">
        <f t="shared" si="18"/>
        <v>23256.344789643466</v>
      </c>
      <c r="DL7" s="156">
        <f t="shared" si="18"/>
        <v>23256.344789643466</v>
      </c>
      <c r="DM7" s="156">
        <f t="shared" si="18"/>
        <v>23256.344789643466</v>
      </c>
      <c r="DN7" s="156">
        <f t="shared" si="18"/>
        <v>23256.344789643466</v>
      </c>
      <c r="DO7" s="156">
        <f t="shared" si="18"/>
        <v>23256.344789643466</v>
      </c>
      <c r="DP7" s="156">
        <f t="shared" si="18"/>
        <v>23256.344789643466</v>
      </c>
      <c r="DQ7" s="156">
        <f t="shared" si="18"/>
        <v>23256.344789643466</v>
      </c>
      <c r="DR7" s="156">
        <f>SUM(DF7:DQ7)</f>
        <v>279076.13747572165</v>
      </c>
      <c r="DS7" s="156">
        <f>DQ7*(1+'Inputs &amp; Assumptions'!$V$74)</f>
        <v>23954.035133332771</v>
      </c>
      <c r="DT7" s="156">
        <f>DS7</f>
        <v>23954.035133332771</v>
      </c>
      <c r="DU7" s="156">
        <f t="shared" ref="DU7:ED7" si="19">DT7</f>
        <v>23954.035133332771</v>
      </c>
      <c r="DV7" s="156">
        <f t="shared" si="19"/>
        <v>23954.035133332771</v>
      </c>
      <c r="DW7" s="156">
        <f t="shared" si="19"/>
        <v>23954.035133332771</v>
      </c>
      <c r="DX7" s="156">
        <f t="shared" si="19"/>
        <v>23954.035133332771</v>
      </c>
      <c r="DY7" s="156">
        <f t="shared" si="19"/>
        <v>23954.035133332771</v>
      </c>
      <c r="DZ7" s="156">
        <f t="shared" si="19"/>
        <v>23954.035133332771</v>
      </c>
      <c r="EA7" s="156">
        <f t="shared" si="19"/>
        <v>23954.035133332771</v>
      </c>
      <c r="EB7" s="156">
        <f t="shared" si="19"/>
        <v>23954.035133332771</v>
      </c>
      <c r="EC7" s="156">
        <f t="shared" si="19"/>
        <v>23954.035133332771</v>
      </c>
      <c r="ED7" s="156">
        <f t="shared" si="19"/>
        <v>23954.035133332771</v>
      </c>
      <c r="EE7" s="243">
        <f>SUM(DS7:ED7)</f>
        <v>287448.42159999325</v>
      </c>
      <c r="EF7" s="11"/>
    </row>
    <row r="8" spans="2:168">
      <c r="B8" s="161" t="str">
        <f>'Inputs &amp; Assumptions'!$B$19</f>
        <v>Other Income</v>
      </c>
      <c r="E8" s="12" t="e">
        <f>'Inputs &amp; Assumptions'!#REF!</f>
        <v>#REF!</v>
      </c>
      <c r="F8" s="12">
        <f>'Inputs &amp; Assumptions'!F19/12</f>
        <v>16686.43</v>
      </c>
      <c r="G8" s="12">
        <f>F8</f>
        <v>16686.43</v>
      </c>
      <c r="H8" s="12">
        <f t="shared" ref="H8:Q8" si="20">G8</f>
        <v>16686.43</v>
      </c>
      <c r="I8" s="12">
        <f t="shared" si="20"/>
        <v>16686.43</v>
      </c>
      <c r="J8" s="12">
        <f t="shared" si="20"/>
        <v>16686.43</v>
      </c>
      <c r="K8" s="12">
        <f t="shared" si="20"/>
        <v>16686.43</v>
      </c>
      <c r="L8" s="12">
        <f t="shared" si="20"/>
        <v>16686.43</v>
      </c>
      <c r="M8" s="12">
        <f t="shared" si="20"/>
        <v>16686.43</v>
      </c>
      <c r="N8" s="12">
        <f t="shared" si="20"/>
        <v>16686.43</v>
      </c>
      <c r="O8" s="12">
        <f t="shared" si="20"/>
        <v>16686.43</v>
      </c>
      <c r="P8" s="12">
        <f t="shared" si="20"/>
        <v>16686.43</v>
      </c>
      <c r="Q8" s="12">
        <f t="shared" si="20"/>
        <v>16686.43</v>
      </c>
      <c r="R8" s="12">
        <f t="shared" ref="R8" si="21">SUM(F8:Q8)</f>
        <v>200237.15999999995</v>
      </c>
      <c r="S8" s="12">
        <f>Q8*(1+'Inputs &amp; Assumptions'!$V$71)</f>
        <v>17187.0229</v>
      </c>
      <c r="T8" s="12">
        <f>S8</f>
        <v>17187.0229</v>
      </c>
      <c r="U8" s="12">
        <f t="shared" ref="U8:AD8" si="22">T8</f>
        <v>17187.0229</v>
      </c>
      <c r="V8" s="12">
        <f t="shared" si="22"/>
        <v>17187.0229</v>
      </c>
      <c r="W8" s="12">
        <f t="shared" si="22"/>
        <v>17187.0229</v>
      </c>
      <c r="X8" s="12">
        <f t="shared" si="22"/>
        <v>17187.0229</v>
      </c>
      <c r="Y8" s="12">
        <f t="shared" si="22"/>
        <v>17187.0229</v>
      </c>
      <c r="Z8" s="12">
        <f t="shared" si="22"/>
        <v>17187.0229</v>
      </c>
      <c r="AA8" s="12">
        <f t="shared" si="22"/>
        <v>17187.0229</v>
      </c>
      <c r="AB8" s="12">
        <f t="shared" si="22"/>
        <v>17187.0229</v>
      </c>
      <c r="AC8" s="12">
        <f t="shared" si="22"/>
        <v>17187.0229</v>
      </c>
      <c r="AD8" s="12">
        <f t="shared" si="22"/>
        <v>17187.0229</v>
      </c>
      <c r="AE8" s="12">
        <f>SUM(S8:AD8)</f>
        <v>206244.27480000004</v>
      </c>
      <c r="AF8" s="12">
        <f>AD8*(1+'Inputs &amp; Assumptions'!$V$72)</f>
        <v>17702.633587</v>
      </c>
      <c r="AG8" s="12">
        <f>AF8</f>
        <v>17702.633587</v>
      </c>
      <c r="AH8" s="12">
        <f t="shared" ref="AH8:AQ8" si="23">AG8</f>
        <v>17702.633587</v>
      </c>
      <c r="AI8" s="12">
        <f t="shared" si="23"/>
        <v>17702.633587</v>
      </c>
      <c r="AJ8" s="12">
        <f t="shared" si="23"/>
        <v>17702.633587</v>
      </c>
      <c r="AK8" s="12">
        <f t="shared" si="23"/>
        <v>17702.633587</v>
      </c>
      <c r="AL8" s="12">
        <f t="shared" si="23"/>
        <v>17702.633587</v>
      </c>
      <c r="AM8" s="12">
        <f t="shared" si="23"/>
        <v>17702.633587</v>
      </c>
      <c r="AN8" s="12">
        <f t="shared" si="23"/>
        <v>17702.633587</v>
      </c>
      <c r="AO8" s="12">
        <f t="shared" si="23"/>
        <v>17702.633587</v>
      </c>
      <c r="AP8" s="12">
        <f t="shared" si="23"/>
        <v>17702.633587</v>
      </c>
      <c r="AQ8" s="12">
        <f t="shared" si="23"/>
        <v>17702.633587</v>
      </c>
      <c r="AR8" s="12">
        <f t="shared" ref="AR8:AR31" si="24">SUM(AF8:AQ8)</f>
        <v>212431.60304399996</v>
      </c>
      <c r="AS8" s="12">
        <f>AQ8*(1+'Inputs &amp; Assumptions'!$V$73)</f>
        <v>18233.712594610002</v>
      </c>
      <c r="AT8" s="12">
        <f>AS8</f>
        <v>18233.712594610002</v>
      </c>
      <c r="AU8" s="12">
        <f t="shared" ref="AU8:BD8" si="25">AT8</f>
        <v>18233.712594610002</v>
      </c>
      <c r="AV8" s="12">
        <f t="shared" si="25"/>
        <v>18233.712594610002</v>
      </c>
      <c r="AW8" s="12">
        <f t="shared" si="25"/>
        <v>18233.712594610002</v>
      </c>
      <c r="AX8" s="12">
        <f t="shared" si="25"/>
        <v>18233.712594610002</v>
      </c>
      <c r="AY8" s="12">
        <f t="shared" si="25"/>
        <v>18233.712594610002</v>
      </c>
      <c r="AZ8" s="12">
        <f t="shared" si="25"/>
        <v>18233.712594610002</v>
      </c>
      <c r="BA8" s="12">
        <f t="shared" si="25"/>
        <v>18233.712594610002</v>
      </c>
      <c r="BB8" s="12">
        <f t="shared" si="25"/>
        <v>18233.712594610002</v>
      </c>
      <c r="BC8" s="12">
        <f t="shared" si="25"/>
        <v>18233.712594610002</v>
      </c>
      <c r="BD8" s="12">
        <f t="shared" si="25"/>
        <v>18233.712594610002</v>
      </c>
      <c r="BE8" s="12">
        <f t="shared" ref="BE8:BE36" si="26">SUM(AS8:BD8)</f>
        <v>218804.55113532001</v>
      </c>
      <c r="BF8" s="12">
        <f>BD8*(1+'Inputs &amp; Assumptions'!$V$74)</f>
        <v>18780.723972448304</v>
      </c>
      <c r="BG8" s="12">
        <f>BF8</f>
        <v>18780.723972448304</v>
      </c>
      <c r="BH8" s="12">
        <f t="shared" ref="BH8:BQ8" si="27">BG8</f>
        <v>18780.723972448304</v>
      </c>
      <c r="BI8" s="12">
        <f t="shared" si="27"/>
        <v>18780.723972448304</v>
      </c>
      <c r="BJ8" s="12">
        <f t="shared" si="27"/>
        <v>18780.723972448304</v>
      </c>
      <c r="BK8" s="12">
        <f t="shared" si="27"/>
        <v>18780.723972448304</v>
      </c>
      <c r="BL8" s="12">
        <f t="shared" si="27"/>
        <v>18780.723972448304</v>
      </c>
      <c r="BM8" s="12">
        <f t="shared" si="27"/>
        <v>18780.723972448304</v>
      </c>
      <c r="BN8" s="12">
        <f t="shared" si="27"/>
        <v>18780.723972448304</v>
      </c>
      <c r="BO8" s="12">
        <f t="shared" si="27"/>
        <v>18780.723972448304</v>
      </c>
      <c r="BP8" s="12">
        <f t="shared" si="27"/>
        <v>18780.723972448304</v>
      </c>
      <c r="BQ8" s="12">
        <f t="shared" si="27"/>
        <v>18780.723972448304</v>
      </c>
      <c r="BR8" s="12">
        <f t="shared" ref="BR8:BR36" si="28">SUM(BF8:BQ8)</f>
        <v>225368.68766937961</v>
      </c>
      <c r="BS8" s="12">
        <f>BQ8*(1+'Inputs &amp; Assumptions'!$V$74)</f>
        <v>19344.145691621754</v>
      </c>
      <c r="BT8" s="12">
        <f>BS8</f>
        <v>19344.145691621754</v>
      </c>
      <c r="BU8" s="12">
        <f t="shared" ref="BU8:CD8" si="29">BT8</f>
        <v>19344.145691621754</v>
      </c>
      <c r="BV8" s="12">
        <f t="shared" si="29"/>
        <v>19344.145691621754</v>
      </c>
      <c r="BW8" s="12">
        <f t="shared" si="29"/>
        <v>19344.145691621754</v>
      </c>
      <c r="BX8" s="12">
        <f t="shared" si="29"/>
        <v>19344.145691621754</v>
      </c>
      <c r="BY8" s="12">
        <f t="shared" si="29"/>
        <v>19344.145691621754</v>
      </c>
      <c r="BZ8" s="12">
        <f t="shared" si="29"/>
        <v>19344.145691621754</v>
      </c>
      <c r="CA8" s="12">
        <f t="shared" si="29"/>
        <v>19344.145691621754</v>
      </c>
      <c r="CB8" s="12">
        <f t="shared" si="29"/>
        <v>19344.145691621754</v>
      </c>
      <c r="CC8" s="12">
        <f t="shared" si="29"/>
        <v>19344.145691621754</v>
      </c>
      <c r="CD8" s="12">
        <f t="shared" si="29"/>
        <v>19344.145691621754</v>
      </c>
      <c r="CE8" s="12">
        <f t="shared" ref="CE8:CE36" si="30">SUM(BS8:CD8)</f>
        <v>232129.74829946106</v>
      </c>
      <c r="CF8" s="12">
        <f>CD8*(1+'Inputs &amp; Assumptions'!$V$74)</f>
        <v>19924.470062370408</v>
      </c>
      <c r="CG8" s="12">
        <f>CF8</f>
        <v>19924.470062370408</v>
      </c>
      <c r="CH8" s="12">
        <f t="shared" ref="CH8:CQ8" si="31">CG8</f>
        <v>19924.470062370408</v>
      </c>
      <c r="CI8" s="12">
        <f t="shared" si="31"/>
        <v>19924.470062370408</v>
      </c>
      <c r="CJ8" s="12">
        <f t="shared" si="31"/>
        <v>19924.470062370408</v>
      </c>
      <c r="CK8" s="12">
        <f t="shared" si="31"/>
        <v>19924.470062370408</v>
      </c>
      <c r="CL8" s="12">
        <f t="shared" si="31"/>
        <v>19924.470062370408</v>
      </c>
      <c r="CM8" s="12">
        <f t="shared" si="31"/>
        <v>19924.470062370408</v>
      </c>
      <c r="CN8" s="12">
        <f t="shared" si="31"/>
        <v>19924.470062370408</v>
      </c>
      <c r="CO8" s="12">
        <f t="shared" si="31"/>
        <v>19924.470062370408</v>
      </c>
      <c r="CP8" s="12">
        <f t="shared" si="31"/>
        <v>19924.470062370408</v>
      </c>
      <c r="CQ8" s="12">
        <f t="shared" si="31"/>
        <v>19924.470062370408</v>
      </c>
      <c r="CR8" s="12">
        <f t="shared" ref="CR8:CR36" si="32">SUM(CF8:CQ8)</f>
        <v>239093.64074844492</v>
      </c>
      <c r="CS8" s="12">
        <f>CQ8*(1+'Inputs &amp; Assumptions'!$V$74)</f>
        <v>20522.204164241521</v>
      </c>
      <c r="CT8" s="12">
        <f>CS8</f>
        <v>20522.204164241521</v>
      </c>
      <c r="CU8" s="12">
        <f t="shared" ref="CU8:DD8" si="33">CT8</f>
        <v>20522.204164241521</v>
      </c>
      <c r="CV8" s="12">
        <f t="shared" si="33"/>
        <v>20522.204164241521</v>
      </c>
      <c r="CW8" s="12">
        <f t="shared" si="33"/>
        <v>20522.204164241521</v>
      </c>
      <c r="CX8" s="12">
        <f t="shared" si="33"/>
        <v>20522.204164241521</v>
      </c>
      <c r="CY8" s="12">
        <f t="shared" si="33"/>
        <v>20522.204164241521</v>
      </c>
      <c r="CZ8" s="12">
        <f t="shared" si="33"/>
        <v>20522.204164241521</v>
      </c>
      <c r="DA8" s="12">
        <f t="shared" si="33"/>
        <v>20522.204164241521</v>
      </c>
      <c r="DB8" s="12">
        <f t="shared" si="33"/>
        <v>20522.204164241521</v>
      </c>
      <c r="DC8" s="12">
        <f t="shared" si="33"/>
        <v>20522.204164241521</v>
      </c>
      <c r="DD8" s="12">
        <f t="shared" si="33"/>
        <v>20522.204164241521</v>
      </c>
      <c r="DE8" s="12">
        <f t="shared" ref="DE8:DE36" si="34">SUM(CS8:DD8)</f>
        <v>246266.44997089831</v>
      </c>
      <c r="DF8" s="12">
        <f>DD8*(1+'Inputs &amp; Assumptions'!$V$74)</f>
        <v>21137.870289168768</v>
      </c>
      <c r="DG8" s="12">
        <f>DF8</f>
        <v>21137.870289168768</v>
      </c>
      <c r="DH8" s="12">
        <f t="shared" ref="DH8:DQ8" si="35">DG8</f>
        <v>21137.870289168768</v>
      </c>
      <c r="DI8" s="12">
        <f t="shared" si="35"/>
        <v>21137.870289168768</v>
      </c>
      <c r="DJ8" s="12">
        <f t="shared" si="35"/>
        <v>21137.870289168768</v>
      </c>
      <c r="DK8" s="12">
        <f t="shared" si="35"/>
        <v>21137.870289168768</v>
      </c>
      <c r="DL8" s="12">
        <f t="shared" si="35"/>
        <v>21137.870289168768</v>
      </c>
      <c r="DM8" s="12">
        <f t="shared" si="35"/>
        <v>21137.870289168768</v>
      </c>
      <c r="DN8" s="12">
        <f t="shared" si="35"/>
        <v>21137.870289168768</v>
      </c>
      <c r="DO8" s="12">
        <f t="shared" si="35"/>
        <v>21137.870289168768</v>
      </c>
      <c r="DP8" s="12">
        <f t="shared" si="35"/>
        <v>21137.870289168768</v>
      </c>
      <c r="DQ8" s="12">
        <f t="shared" si="35"/>
        <v>21137.870289168768</v>
      </c>
      <c r="DR8" s="12">
        <f t="shared" ref="DR8:DR36" si="36">SUM(DF8:DQ8)</f>
        <v>253654.44347002517</v>
      </c>
      <c r="DS8" s="12">
        <f>DQ8*(1+'Inputs &amp; Assumptions'!$V$74)</f>
        <v>21772.00639784383</v>
      </c>
      <c r="DT8" s="12">
        <f>DS8</f>
        <v>21772.00639784383</v>
      </c>
      <c r="DU8" s="12">
        <f t="shared" ref="DU8:ED8" si="37">DT8</f>
        <v>21772.00639784383</v>
      </c>
      <c r="DV8" s="12">
        <f t="shared" si="37"/>
        <v>21772.00639784383</v>
      </c>
      <c r="DW8" s="12">
        <f t="shared" si="37"/>
        <v>21772.00639784383</v>
      </c>
      <c r="DX8" s="12">
        <f t="shared" si="37"/>
        <v>21772.00639784383</v>
      </c>
      <c r="DY8" s="12">
        <f t="shared" si="37"/>
        <v>21772.00639784383</v>
      </c>
      <c r="DZ8" s="12">
        <f t="shared" si="37"/>
        <v>21772.00639784383</v>
      </c>
      <c r="EA8" s="12">
        <f t="shared" si="37"/>
        <v>21772.00639784383</v>
      </c>
      <c r="EB8" s="12">
        <f t="shared" si="37"/>
        <v>21772.00639784383</v>
      </c>
      <c r="EC8" s="12">
        <f t="shared" si="37"/>
        <v>21772.00639784383</v>
      </c>
      <c r="ED8" s="12">
        <f t="shared" si="37"/>
        <v>21772.00639784383</v>
      </c>
      <c r="EE8" s="242">
        <f t="shared" ref="EE8:EE32" si="38">SUM(DS8:ED8)</f>
        <v>261264.07677412595</v>
      </c>
      <c r="EF8" s="11"/>
    </row>
    <row r="9" spans="2:168" s="443" customFormat="1">
      <c r="B9" s="747" t="str">
        <f>'Inputs &amp; Assumptions'!$B$20 &amp;  " %"</f>
        <v>Loss to Lease %</v>
      </c>
      <c r="C9" s="442"/>
      <c r="D9" s="442"/>
      <c r="E9" s="441"/>
      <c r="F9" s="441">
        <f>IF('Inputs &amp; Assumptions'!$V$51="Yes",_xlfn.XLOOKUP('Pro Forma'!F4,'Granular rates'!$D$4:$DS$4,'Granular rates'!$D$5:$DS$5,0,0,1),'Inputs &amp; Assumptions'!$V$53)</f>
        <v>0.18</v>
      </c>
      <c r="G9" s="441">
        <f>IF('Inputs &amp; Assumptions'!$V$51="Yes",_xlfn.XLOOKUP('Pro Forma'!G4,'Granular rates'!$D$4:$DS$4,'Granular rates'!$D$5:$DS$5,0,0,1),'Inputs &amp; Assumptions'!$V$53)</f>
        <v>0.18</v>
      </c>
      <c r="H9" s="441">
        <f>IF('Inputs &amp; Assumptions'!$V$51="Yes",_xlfn.XLOOKUP('Pro Forma'!H4,'Granular rates'!$D$4:$DS$4,'Granular rates'!$D$5:$DS$5,0,0,1),'Inputs &amp; Assumptions'!$V$53)</f>
        <v>0.18</v>
      </c>
      <c r="I9" s="441">
        <f>IF('Inputs &amp; Assumptions'!$V$51="Yes",_xlfn.XLOOKUP('Pro Forma'!I4,'Granular rates'!$D$4:$DS$4,'Granular rates'!$D$5:$DS$5,0,0,1),'Inputs &amp; Assumptions'!$V$53)</f>
        <v>0.18</v>
      </c>
      <c r="J9" s="441">
        <f>IF('Inputs &amp; Assumptions'!$V$51="Yes",_xlfn.XLOOKUP('Pro Forma'!J4,'Granular rates'!$D$4:$DS$4,'Granular rates'!$D$5:$DS$5,0,0,1),'Inputs &amp; Assumptions'!$V$53)</f>
        <v>0.18</v>
      </c>
      <c r="K9" s="441">
        <f>IF('Inputs &amp; Assumptions'!$V$51="Yes",_xlfn.XLOOKUP('Pro Forma'!K4,'Granular rates'!$D$4:$DS$4,'Granular rates'!$D$5:$DS$5,0,0,1),'Inputs &amp; Assumptions'!$V$53)</f>
        <v>0.18</v>
      </c>
      <c r="L9" s="441">
        <f>IF('Inputs &amp; Assumptions'!$V$51="Yes",_xlfn.XLOOKUP('Pro Forma'!L4,'Granular rates'!$D$4:$DS$4,'Granular rates'!$D$5:$DS$5,0,0,1),'Inputs &amp; Assumptions'!$V$53)</f>
        <v>0.18</v>
      </c>
      <c r="M9" s="441">
        <f>IF('Inputs &amp; Assumptions'!$V$51="Yes",_xlfn.XLOOKUP('Pro Forma'!M4,'Granular rates'!$D$4:$DS$4,'Granular rates'!$D$5:$DS$5,0,0,1),'Inputs &amp; Assumptions'!$V$53)</f>
        <v>0.18</v>
      </c>
      <c r="N9" s="441">
        <f>IF('Inputs &amp; Assumptions'!$V$51="Yes",_xlfn.XLOOKUP('Pro Forma'!N4,'Granular rates'!$D$4:$DS$4,'Granular rates'!$D$5:$DS$5,0,0,1),'Inputs &amp; Assumptions'!$V$53)</f>
        <v>0.18</v>
      </c>
      <c r="O9" s="441">
        <f>IF('Inputs &amp; Assumptions'!$V$51="Yes",_xlfn.XLOOKUP('Pro Forma'!O4,'Granular rates'!$D$4:$DS$4,'Granular rates'!$D$5:$DS$5,0,0,1),'Inputs &amp; Assumptions'!$V$53)</f>
        <v>0.18</v>
      </c>
      <c r="P9" s="441">
        <f>IF('Inputs &amp; Assumptions'!$V$51="Yes",_xlfn.XLOOKUP('Pro Forma'!P4,'Granular rates'!$D$4:$DS$4,'Granular rates'!$D$5:$DS$5,0,0,1),'Inputs &amp; Assumptions'!$V$53)</f>
        <v>0.18</v>
      </c>
      <c r="Q9" s="441">
        <f>IF('Inputs &amp; Assumptions'!$V$51="Yes",_xlfn.XLOOKUP('Pro Forma'!Q4,'Granular rates'!$D$4:$DS$4,'Granular rates'!$D$5:$DS$5,0,0,1),'Inputs &amp; Assumptions'!$V$53)</f>
        <v>0.18</v>
      </c>
      <c r="R9" s="441">
        <f>AVERAGE(F9:Q9)</f>
        <v>0.17999999999999997</v>
      </c>
      <c r="S9" s="441">
        <f>IF('Inputs &amp; Assumptions'!$V$51="Yes",_xlfn.XLOOKUP('Pro Forma'!S4,'Granular rates'!$D$4:$DS$4,'Granular rates'!$D$5:$DS$5,0,0,1),'Inputs &amp; Assumptions'!$V$54)</f>
        <v>0.12</v>
      </c>
      <c r="T9" s="441">
        <f>IF('Inputs &amp; Assumptions'!$V$51="Yes",_xlfn.XLOOKUP('Pro Forma'!T4,'Granular rates'!$D$4:$DS$4,'Granular rates'!$D$5:$DS$5,0,0,1),'Inputs &amp; Assumptions'!$V$54)</f>
        <v>0.12</v>
      </c>
      <c r="U9" s="441">
        <f>IF('Inputs &amp; Assumptions'!$V$51="Yes",_xlfn.XLOOKUP('Pro Forma'!U4,'Granular rates'!$D$4:$DS$4,'Granular rates'!$D$5:$DS$5,0,0,1),'Inputs &amp; Assumptions'!$V$54)</f>
        <v>0.12</v>
      </c>
      <c r="V9" s="441">
        <f>IF('Inputs &amp; Assumptions'!$V$51="Yes",_xlfn.XLOOKUP('Pro Forma'!V4,'Granular rates'!$D$4:$DS$4,'Granular rates'!$D$5:$DS$5,0,0,1),'Inputs &amp; Assumptions'!$V$54)</f>
        <v>0.12</v>
      </c>
      <c r="W9" s="441">
        <f>IF('Inputs &amp; Assumptions'!$V$51="Yes",_xlfn.XLOOKUP('Pro Forma'!W4,'Granular rates'!$D$4:$DS$4,'Granular rates'!$D$5:$DS$5,0,0,1),'Inputs &amp; Assumptions'!$V$54)</f>
        <v>0.12</v>
      </c>
      <c r="X9" s="441">
        <f>IF('Inputs &amp; Assumptions'!$V$51="Yes",_xlfn.XLOOKUP('Pro Forma'!X4,'Granular rates'!$D$4:$DS$4,'Granular rates'!$D$5:$DS$5,0,0,1),'Inputs &amp; Assumptions'!$V$54)</f>
        <v>0.12</v>
      </c>
      <c r="Y9" s="441">
        <f>IF('Inputs &amp; Assumptions'!$V$51="Yes",_xlfn.XLOOKUP('Pro Forma'!Y4,'Granular rates'!$D$4:$DS$4,'Granular rates'!$D$5:$DS$5,0,0,1),'Inputs &amp; Assumptions'!$V$54)</f>
        <v>0.12</v>
      </c>
      <c r="Z9" s="441">
        <f>IF('Inputs &amp; Assumptions'!$V$51="Yes",_xlfn.XLOOKUP('Pro Forma'!Z4,'Granular rates'!$D$4:$DS$4,'Granular rates'!$D$5:$DS$5,0,0,1),'Inputs &amp; Assumptions'!$V$54)</f>
        <v>0.12</v>
      </c>
      <c r="AA9" s="441">
        <f>IF('Inputs &amp; Assumptions'!$V$51="Yes",_xlfn.XLOOKUP('Pro Forma'!AA4,'Granular rates'!$D$4:$DS$4,'Granular rates'!$D$5:$DS$5,0,0,1),'Inputs &amp; Assumptions'!$V$54)</f>
        <v>0.12</v>
      </c>
      <c r="AB9" s="441">
        <f>IF('Inputs &amp; Assumptions'!$V$51="Yes",_xlfn.XLOOKUP('Pro Forma'!AB4,'Granular rates'!$D$4:$DS$4,'Granular rates'!$D$5:$DS$5,0,0,1),'Inputs &amp; Assumptions'!$V$54)</f>
        <v>0.12</v>
      </c>
      <c r="AC9" s="441">
        <f>IF('Inputs &amp; Assumptions'!$V$51="Yes",_xlfn.XLOOKUP('Pro Forma'!AC4,'Granular rates'!$D$4:$DS$4,'Granular rates'!$D$5:$DS$5,0,0,1),'Inputs &amp; Assumptions'!$V$54)</f>
        <v>0.12</v>
      </c>
      <c r="AD9" s="441">
        <f>IF('Inputs &amp; Assumptions'!$V$51="Yes",_xlfn.XLOOKUP('Pro Forma'!AD4,'Granular rates'!$D$4:$DS$4,'Granular rates'!$D$5:$DS$5,0,0,1),'Inputs &amp; Assumptions'!$V$54)</f>
        <v>0.12</v>
      </c>
      <c r="AE9" s="441">
        <f>AVERAGE(S9:AD9)</f>
        <v>0.12000000000000004</v>
      </c>
      <c r="AF9" s="441">
        <f>IF('Inputs &amp; Assumptions'!$V$51="Yes",_xlfn.XLOOKUP('Pro Forma'!AF4,'Granular rates'!$D$4:$DS$4,'Granular rates'!$D$5:$DS$5,0,0,1),'Inputs &amp; Assumptions'!$V$52)</f>
        <v>0.01</v>
      </c>
      <c r="AG9" s="441">
        <f>IF('Inputs &amp; Assumptions'!$V$51="Yes",_xlfn.XLOOKUP('Pro Forma'!AG4,'Granular rates'!$D$4:$DS$4,'Granular rates'!$D$5:$DS$5,0,0,1),'Inputs &amp; Assumptions'!$V$52)</f>
        <v>0.01</v>
      </c>
      <c r="AH9" s="441">
        <f>IF('Inputs &amp; Assumptions'!$V$51="Yes",_xlfn.XLOOKUP('Pro Forma'!AH4,'Granular rates'!$D$4:$DS$4,'Granular rates'!$D$5:$DS$5,0,0,1),'Inputs &amp; Assumptions'!$V$52)</f>
        <v>0.01</v>
      </c>
      <c r="AI9" s="441">
        <f>IF('Inputs &amp; Assumptions'!$V$51="Yes",_xlfn.XLOOKUP('Pro Forma'!AI4,'Granular rates'!$D$4:$DS$4,'Granular rates'!$D$5:$DS$5,0,0,1),'Inputs &amp; Assumptions'!$V$52)</f>
        <v>0.01</v>
      </c>
      <c r="AJ9" s="441">
        <f>IF('Inputs &amp; Assumptions'!$V$51="Yes",_xlfn.XLOOKUP('Pro Forma'!AJ4,'Granular rates'!$D$4:$DS$4,'Granular rates'!$D$5:$DS$5,0,0,1),'Inputs &amp; Assumptions'!$V$52)</f>
        <v>0.01</v>
      </c>
      <c r="AK9" s="441">
        <f>IF('Inputs &amp; Assumptions'!$V$51="Yes",_xlfn.XLOOKUP('Pro Forma'!AK4,'Granular rates'!$D$4:$DS$4,'Granular rates'!$D$5:$DS$5,0,0,1),'Inputs &amp; Assumptions'!$V$52)</f>
        <v>0.01</v>
      </c>
      <c r="AL9" s="441">
        <f>IF('Inputs &amp; Assumptions'!$V$51="Yes",_xlfn.XLOOKUP('Pro Forma'!AL4,'Granular rates'!$D$4:$DS$4,'Granular rates'!$D$5:$DS$5,0,0,1),'Inputs &amp; Assumptions'!$V$52)</f>
        <v>0.01</v>
      </c>
      <c r="AM9" s="441">
        <f>IF('Inputs &amp; Assumptions'!$V$51="Yes",_xlfn.XLOOKUP('Pro Forma'!AM4,'Granular rates'!$D$4:$DS$4,'Granular rates'!$D$5:$DS$5,0,0,1),'Inputs &amp; Assumptions'!$V$52)</f>
        <v>0.01</v>
      </c>
      <c r="AN9" s="441">
        <f>IF('Inputs &amp; Assumptions'!$V$51="Yes",_xlfn.XLOOKUP('Pro Forma'!AN4,'Granular rates'!$D$4:$DS$4,'Granular rates'!$D$5:$DS$5,0,0,1),'Inputs &amp; Assumptions'!$V$52)</f>
        <v>0.01</v>
      </c>
      <c r="AO9" s="441">
        <f>IF('Inputs &amp; Assumptions'!$V$51="Yes",_xlfn.XLOOKUP('Pro Forma'!AO4,'Granular rates'!$D$4:$DS$4,'Granular rates'!$D$5:$DS$5,0,0,1),'Inputs &amp; Assumptions'!$V$52)</f>
        <v>0.01</v>
      </c>
      <c r="AP9" s="441">
        <f>IF('Inputs &amp; Assumptions'!$V$51="Yes",_xlfn.XLOOKUP('Pro Forma'!AP4,'Granular rates'!$D$4:$DS$4,'Granular rates'!$D$5:$DS$5,0,0,1),'Inputs &amp; Assumptions'!$V$52)</f>
        <v>0.01</v>
      </c>
      <c r="AQ9" s="441">
        <f>IF('Inputs &amp; Assumptions'!$V$51="Yes",_xlfn.XLOOKUP('Pro Forma'!AQ4,'Granular rates'!$D$4:$DS$4,'Granular rates'!$D$5:$DS$5,0,0,1),'Inputs &amp; Assumptions'!$V$52)</f>
        <v>0.01</v>
      </c>
      <c r="AR9" s="441">
        <f>AVERAGE(AF9:AQ9)</f>
        <v>9.9999999999999985E-3</v>
      </c>
      <c r="AS9" s="441">
        <f>IF('Inputs &amp; Assumptions'!$V$51="Yes",_xlfn.XLOOKUP('Pro Forma'!AS4,'Granular rates'!$D$4:$DS$4,'Granular rates'!$D$5:$DS$5,0,0,1),'Inputs &amp; Assumptions'!$V$52)</f>
        <v>0.01</v>
      </c>
      <c r="AT9" s="441">
        <f>IF('Inputs &amp; Assumptions'!$V$51="Yes",_xlfn.XLOOKUP('Pro Forma'!AT4,'Granular rates'!$D$4:$DS$4,'Granular rates'!$D$5:$DS$5,0,0,1),'Inputs &amp; Assumptions'!$V$52)</f>
        <v>0.01</v>
      </c>
      <c r="AU9" s="441">
        <f>IF('Inputs &amp; Assumptions'!$V$51="Yes",_xlfn.XLOOKUP('Pro Forma'!AU4,'Granular rates'!$D$4:$DS$4,'Granular rates'!$D$5:$DS$5,0,0,1),'Inputs &amp; Assumptions'!$V$52)</f>
        <v>0.01</v>
      </c>
      <c r="AV9" s="441">
        <f>IF('Inputs &amp; Assumptions'!$V$51="Yes",_xlfn.XLOOKUP('Pro Forma'!AV4,'Granular rates'!$D$4:$DS$4,'Granular rates'!$D$5:$DS$5,0,0,1),'Inputs &amp; Assumptions'!$V$52)</f>
        <v>0.01</v>
      </c>
      <c r="AW9" s="441">
        <f>IF('Inputs &amp; Assumptions'!$V$51="Yes",_xlfn.XLOOKUP('Pro Forma'!AW4,'Granular rates'!$D$4:$DS$4,'Granular rates'!$D$5:$DS$5,0,0,1),'Inputs &amp; Assumptions'!$V$52)</f>
        <v>0.01</v>
      </c>
      <c r="AX9" s="441">
        <f>IF('Inputs &amp; Assumptions'!$V$51="Yes",_xlfn.XLOOKUP('Pro Forma'!AX4,'Granular rates'!$D$4:$DS$4,'Granular rates'!$D$5:$DS$5,0,0,1),'Inputs &amp; Assumptions'!$V$52)</f>
        <v>0.01</v>
      </c>
      <c r="AY9" s="441">
        <f>IF('Inputs &amp; Assumptions'!$V$51="Yes",_xlfn.XLOOKUP('Pro Forma'!AY4,'Granular rates'!$D$4:$DS$4,'Granular rates'!$D$5:$DS$5,0,0,1),'Inputs &amp; Assumptions'!$V$52)</f>
        <v>0.01</v>
      </c>
      <c r="AZ9" s="441">
        <f>IF('Inputs &amp; Assumptions'!$V$51="Yes",_xlfn.XLOOKUP('Pro Forma'!AZ4,'Granular rates'!$D$4:$DS$4,'Granular rates'!$D$5:$DS$5,0,0,1),'Inputs &amp; Assumptions'!$V$52)</f>
        <v>0.01</v>
      </c>
      <c r="BA9" s="441">
        <f>IF('Inputs &amp; Assumptions'!$V$51="Yes",_xlfn.XLOOKUP('Pro Forma'!BA4,'Granular rates'!$D$4:$DS$4,'Granular rates'!$D$5:$DS$5,0,0,1),'Inputs &amp; Assumptions'!$V$52)</f>
        <v>0.01</v>
      </c>
      <c r="BB9" s="441">
        <f>IF('Inputs &amp; Assumptions'!$V$51="Yes",_xlfn.XLOOKUP('Pro Forma'!BB4,'Granular rates'!$D$4:$DS$4,'Granular rates'!$D$5:$DS$5,0,0,1),'Inputs &amp; Assumptions'!$V$52)</f>
        <v>0.01</v>
      </c>
      <c r="BC9" s="441">
        <f>IF('Inputs &amp; Assumptions'!$V$51="Yes",_xlfn.XLOOKUP('Pro Forma'!BC4,'Granular rates'!$D$4:$DS$4,'Granular rates'!$D$5:$DS$5,0,0,1),'Inputs &amp; Assumptions'!$V$52)</f>
        <v>0.01</v>
      </c>
      <c r="BD9" s="441">
        <f>IF('Inputs &amp; Assumptions'!$V$51="Yes",_xlfn.XLOOKUP('Pro Forma'!BD4,'Granular rates'!$D$4:$DS$4,'Granular rates'!$D$5:$DS$5,0,0,1),'Inputs &amp; Assumptions'!$V$52)</f>
        <v>0.01</v>
      </c>
      <c r="BE9" s="441">
        <f>AVERAGE(AS9:BD9)</f>
        <v>9.9999999999999985E-3</v>
      </c>
      <c r="BF9" s="441">
        <f>IF('Inputs &amp; Assumptions'!$V$51="Yes",_xlfn.XLOOKUP('Pro Forma'!BF4,'Granular rates'!$D$4:$DS$4,'Granular rates'!$D$5:$DS$5,0,0,1),'Inputs &amp; Assumptions'!$V$52)</f>
        <v>0.01</v>
      </c>
      <c r="BG9" s="441">
        <f>IF('Inputs &amp; Assumptions'!$V$51="Yes",_xlfn.XLOOKUP('Pro Forma'!BG4,'Granular rates'!$D$4:$DS$4,'Granular rates'!$D$5:$DS$5,0,0,1),'Inputs &amp; Assumptions'!$V$52)</f>
        <v>0.01</v>
      </c>
      <c r="BH9" s="441">
        <f>IF('Inputs &amp; Assumptions'!$V$51="Yes",_xlfn.XLOOKUP('Pro Forma'!BH4,'Granular rates'!$D$4:$DS$4,'Granular rates'!$D$5:$DS$5,0,0,1),'Inputs &amp; Assumptions'!$V$52)</f>
        <v>0.01</v>
      </c>
      <c r="BI9" s="441">
        <f>IF('Inputs &amp; Assumptions'!$V$51="Yes",_xlfn.XLOOKUP('Pro Forma'!BI4,'Granular rates'!$D$4:$DS$4,'Granular rates'!$D$5:$DS$5,0,0,1),'Inputs &amp; Assumptions'!$V$52)</f>
        <v>0.01</v>
      </c>
      <c r="BJ9" s="441">
        <f>IF('Inputs &amp; Assumptions'!$V$51="Yes",_xlfn.XLOOKUP('Pro Forma'!BJ4,'Granular rates'!$D$4:$DS$4,'Granular rates'!$D$5:$DS$5,0,0,1),'Inputs &amp; Assumptions'!$V$52)</f>
        <v>0.01</v>
      </c>
      <c r="BK9" s="441">
        <f>IF('Inputs &amp; Assumptions'!$V$51="Yes",_xlfn.XLOOKUP('Pro Forma'!BK4,'Granular rates'!$D$4:$DS$4,'Granular rates'!$D$5:$DS$5,0,0,1),'Inputs &amp; Assumptions'!$V$52)</f>
        <v>0.01</v>
      </c>
      <c r="BL9" s="441">
        <f>IF('Inputs &amp; Assumptions'!$V$51="Yes",_xlfn.XLOOKUP('Pro Forma'!BL4,'Granular rates'!$D$4:$DS$4,'Granular rates'!$D$5:$DS$5,0,0,1),'Inputs &amp; Assumptions'!$V$52)</f>
        <v>0.01</v>
      </c>
      <c r="BM9" s="441">
        <f>IF('Inputs &amp; Assumptions'!$V$51="Yes",_xlfn.XLOOKUP('Pro Forma'!BM4,'Granular rates'!$D$4:$DS$4,'Granular rates'!$D$5:$DS$5,0,0,1),'Inputs &amp; Assumptions'!$V$52)</f>
        <v>0.01</v>
      </c>
      <c r="BN9" s="441">
        <f>IF('Inputs &amp; Assumptions'!$V$51="Yes",_xlfn.XLOOKUP('Pro Forma'!BN4,'Granular rates'!$D$4:$DS$4,'Granular rates'!$D$5:$DS$5,0,0,1),'Inputs &amp; Assumptions'!$V$52)</f>
        <v>0.01</v>
      </c>
      <c r="BO9" s="441">
        <f>IF('Inputs &amp; Assumptions'!$V$51="Yes",_xlfn.XLOOKUP('Pro Forma'!BO4,'Granular rates'!$D$4:$DS$4,'Granular rates'!$D$5:$DS$5,0,0,1),'Inputs &amp; Assumptions'!$V$52)</f>
        <v>0.01</v>
      </c>
      <c r="BP9" s="441">
        <f>IF('Inputs &amp; Assumptions'!$V$51="Yes",_xlfn.XLOOKUP('Pro Forma'!BP4,'Granular rates'!$D$4:$DS$4,'Granular rates'!$D$5:$DS$5,0,0,1),'Inputs &amp; Assumptions'!$V$52)</f>
        <v>0.01</v>
      </c>
      <c r="BQ9" s="441">
        <f>IF('Inputs &amp; Assumptions'!$V$51="Yes",_xlfn.XLOOKUP('Pro Forma'!BQ4,'Granular rates'!$D$4:$DS$4,'Granular rates'!$D$5:$DS$5,0,0,1),'Inputs &amp; Assumptions'!$V$52)</f>
        <v>0.01</v>
      </c>
      <c r="BR9" s="441">
        <f>AVERAGE(BF9:BQ9)</f>
        <v>9.9999999999999985E-3</v>
      </c>
      <c r="BS9" s="441">
        <f>IF('Inputs &amp; Assumptions'!$V$51="Yes",_xlfn.XLOOKUP('Pro Forma'!BS4,'Granular rates'!$D$4:$DS$4,'Granular rates'!$D$5:$DS$5,0,0,1),'Inputs &amp; Assumptions'!$V$52)</f>
        <v>0.01</v>
      </c>
      <c r="BT9" s="441">
        <f>IF('Inputs &amp; Assumptions'!$V$51="Yes",_xlfn.XLOOKUP('Pro Forma'!BT4,'Granular rates'!$D$4:$DS$4,'Granular rates'!$D$5:$DS$5,0,0,1),'Inputs &amp; Assumptions'!$V$52)</f>
        <v>0.01</v>
      </c>
      <c r="BU9" s="441">
        <f>IF('Inputs &amp; Assumptions'!$V$51="Yes",_xlfn.XLOOKUP('Pro Forma'!BU4,'Granular rates'!$D$4:$DS$4,'Granular rates'!$D$5:$DS$5,0,0,1),'Inputs &amp; Assumptions'!$V$52)</f>
        <v>0.01</v>
      </c>
      <c r="BV9" s="441">
        <f>IF('Inputs &amp; Assumptions'!$V$51="Yes",_xlfn.XLOOKUP('Pro Forma'!BV4,'Granular rates'!$D$4:$DS$4,'Granular rates'!$D$5:$DS$5,0,0,1),'Inputs &amp; Assumptions'!$V$52)</f>
        <v>0.01</v>
      </c>
      <c r="BW9" s="441">
        <f>IF('Inputs &amp; Assumptions'!$V$51="Yes",_xlfn.XLOOKUP('Pro Forma'!BW4,'Granular rates'!$D$4:$DS$4,'Granular rates'!$D$5:$DS$5,0,0,1),'Inputs &amp; Assumptions'!$V$52)</f>
        <v>0.01</v>
      </c>
      <c r="BX9" s="441">
        <f>IF('Inputs &amp; Assumptions'!$V$51="Yes",_xlfn.XLOOKUP('Pro Forma'!BX4,'Granular rates'!$D$4:$DS$4,'Granular rates'!$D$5:$DS$5,0,0,1),'Inputs &amp; Assumptions'!$V$52)</f>
        <v>0.01</v>
      </c>
      <c r="BY9" s="441">
        <f>IF('Inputs &amp; Assumptions'!$V$51="Yes",_xlfn.XLOOKUP('Pro Forma'!BY4,'Granular rates'!$D$4:$DS$4,'Granular rates'!$D$5:$DS$5,0,0,1),'Inputs &amp; Assumptions'!$V$52)</f>
        <v>0.01</v>
      </c>
      <c r="BZ9" s="441">
        <f>IF('Inputs &amp; Assumptions'!$V$51="Yes",_xlfn.XLOOKUP('Pro Forma'!BZ4,'Granular rates'!$D$4:$DS$4,'Granular rates'!$D$5:$DS$5,0,0,1),'Inputs &amp; Assumptions'!$V$52)</f>
        <v>0.01</v>
      </c>
      <c r="CA9" s="441">
        <f>IF('Inputs &amp; Assumptions'!$V$51="Yes",_xlfn.XLOOKUP('Pro Forma'!CA4,'Granular rates'!$D$4:$DS$4,'Granular rates'!$D$5:$DS$5,0,0,1),'Inputs &amp; Assumptions'!$V$52)</f>
        <v>0.01</v>
      </c>
      <c r="CB9" s="441">
        <f>IF('Inputs &amp; Assumptions'!$V$51="Yes",_xlfn.XLOOKUP('Pro Forma'!CB4,'Granular rates'!$D$4:$DS$4,'Granular rates'!$D$5:$DS$5,0,0,1),'Inputs &amp; Assumptions'!$V$52)</f>
        <v>0.01</v>
      </c>
      <c r="CC9" s="441">
        <f>IF('Inputs &amp; Assumptions'!$V$51="Yes",_xlfn.XLOOKUP('Pro Forma'!CC4,'Granular rates'!$D$4:$DS$4,'Granular rates'!$D$5:$DS$5,0,0,1),'Inputs &amp; Assumptions'!$V$52)</f>
        <v>0.01</v>
      </c>
      <c r="CD9" s="441">
        <f>IF('Inputs &amp; Assumptions'!$V$51="Yes",_xlfn.XLOOKUP('Pro Forma'!CD4,'Granular rates'!$D$4:$DS$4,'Granular rates'!$D$5:$DS$5,0,0,1),'Inputs &amp; Assumptions'!$V$52)</f>
        <v>0.01</v>
      </c>
      <c r="CE9" s="441">
        <f>AVERAGE(BS9:CD9)</f>
        <v>9.9999999999999985E-3</v>
      </c>
      <c r="CF9" s="441">
        <f>IF('Inputs &amp; Assumptions'!$V$51="Yes",_xlfn.XLOOKUP('Pro Forma'!CF4,'Granular rates'!$D$4:$DS$4,'Granular rates'!$D$5:$DS$5,0,0,1),'Inputs &amp; Assumptions'!$V$52)</f>
        <v>0.01</v>
      </c>
      <c r="CG9" s="441">
        <f>IF('Inputs &amp; Assumptions'!$V$51="Yes",_xlfn.XLOOKUP('Pro Forma'!CG4,'Granular rates'!$D$4:$DS$4,'Granular rates'!$D$5:$DS$5,0,0,1),'Inputs &amp; Assumptions'!$V$52)</f>
        <v>0.01</v>
      </c>
      <c r="CH9" s="441">
        <f>IF('Inputs &amp; Assumptions'!$V$51="Yes",_xlfn.XLOOKUP('Pro Forma'!CH4,'Granular rates'!$D$4:$DS$4,'Granular rates'!$D$5:$DS$5,0,0,1),'Inputs &amp; Assumptions'!$V$52)</f>
        <v>0.01</v>
      </c>
      <c r="CI9" s="441">
        <f>IF('Inputs &amp; Assumptions'!$V$51="Yes",_xlfn.XLOOKUP('Pro Forma'!CI4,'Granular rates'!$D$4:$DS$4,'Granular rates'!$D$5:$DS$5,0,0,1),'Inputs &amp; Assumptions'!$V$52)</f>
        <v>0.01</v>
      </c>
      <c r="CJ9" s="441">
        <f>IF('Inputs &amp; Assumptions'!$V$51="Yes",_xlfn.XLOOKUP('Pro Forma'!CJ4,'Granular rates'!$D$4:$DS$4,'Granular rates'!$D$5:$DS$5,0,0,1),'Inputs &amp; Assumptions'!$V$52)</f>
        <v>0.01</v>
      </c>
      <c r="CK9" s="441">
        <f>IF('Inputs &amp; Assumptions'!$V$51="Yes",_xlfn.XLOOKUP('Pro Forma'!CK4,'Granular rates'!$D$4:$DS$4,'Granular rates'!$D$5:$DS$5,0,0,1),'Inputs &amp; Assumptions'!$V$52)</f>
        <v>0.01</v>
      </c>
      <c r="CL9" s="441">
        <f>IF('Inputs &amp; Assumptions'!$V$51="Yes",_xlfn.XLOOKUP('Pro Forma'!CL4,'Granular rates'!$D$4:$DS$4,'Granular rates'!$D$5:$DS$5,0,0,1),'Inputs &amp; Assumptions'!$V$52)</f>
        <v>0.01</v>
      </c>
      <c r="CM9" s="441">
        <f>IF('Inputs &amp; Assumptions'!$V$51="Yes",_xlfn.XLOOKUP('Pro Forma'!CM4,'Granular rates'!$D$4:$DS$4,'Granular rates'!$D$5:$DS$5,0,0,1),'Inputs &amp; Assumptions'!$V$52)</f>
        <v>0.01</v>
      </c>
      <c r="CN9" s="441">
        <f>IF('Inputs &amp; Assumptions'!$V$51="Yes",_xlfn.XLOOKUP('Pro Forma'!CN4,'Granular rates'!$D$4:$DS$4,'Granular rates'!$D$5:$DS$5,0,0,1),'Inputs &amp; Assumptions'!$V$52)</f>
        <v>0.01</v>
      </c>
      <c r="CO9" s="441">
        <f>IF('Inputs &amp; Assumptions'!$V$51="Yes",_xlfn.XLOOKUP('Pro Forma'!CO4,'Granular rates'!$D$4:$DS$4,'Granular rates'!$D$5:$DS$5,0,0,1),'Inputs &amp; Assumptions'!$V$52)</f>
        <v>0.01</v>
      </c>
      <c r="CP9" s="441">
        <f>IF('Inputs &amp; Assumptions'!$V$51="Yes",_xlfn.XLOOKUP('Pro Forma'!CP4,'Granular rates'!$D$4:$DS$4,'Granular rates'!$D$5:$DS$5,0,0,1),'Inputs &amp; Assumptions'!$V$52)</f>
        <v>0.01</v>
      </c>
      <c r="CQ9" s="441">
        <f>IF('Inputs &amp; Assumptions'!$V$51="Yes",_xlfn.XLOOKUP('Pro Forma'!CQ4,'Granular rates'!$D$4:$DS$4,'Granular rates'!$D$5:$DS$5,0,0,1),'Inputs &amp; Assumptions'!$V$52)</f>
        <v>0.01</v>
      </c>
      <c r="CR9" s="441">
        <f>AVERAGE(CF9:CQ9)</f>
        <v>9.9999999999999985E-3</v>
      </c>
      <c r="CS9" s="441">
        <f>IF('Inputs &amp; Assumptions'!$V$51="Yes",_xlfn.XLOOKUP('Pro Forma'!CS4,'Granular rates'!$D$4:$DS$4,'Granular rates'!$D$5:$DS$5,0,0,1),'Inputs &amp; Assumptions'!$V$52)</f>
        <v>0.01</v>
      </c>
      <c r="CT9" s="441">
        <f>IF('Inputs &amp; Assumptions'!$V$51="Yes",_xlfn.XLOOKUP('Pro Forma'!CT4,'Granular rates'!$D$4:$DS$4,'Granular rates'!$D$5:$DS$5,0,0,1),'Inputs &amp; Assumptions'!$V$52)</f>
        <v>0.01</v>
      </c>
      <c r="CU9" s="441">
        <f>IF('Inputs &amp; Assumptions'!$V$51="Yes",_xlfn.XLOOKUP('Pro Forma'!CU4,'Granular rates'!$D$4:$DS$4,'Granular rates'!$D$5:$DS$5,0,0,1),'Inputs &amp; Assumptions'!$V$52)</f>
        <v>0.01</v>
      </c>
      <c r="CV9" s="441">
        <f>IF('Inputs &amp; Assumptions'!$V$51="Yes",_xlfn.XLOOKUP('Pro Forma'!CV4,'Granular rates'!$D$4:$DS$4,'Granular rates'!$D$5:$DS$5,0,0,1),'Inputs &amp; Assumptions'!$V$52)</f>
        <v>0.01</v>
      </c>
      <c r="CW9" s="441">
        <f>IF('Inputs &amp; Assumptions'!$V$51="Yes",_xlfn.XLOOKUP('Pro Forma'!CW4,'Granular rates'!$D$4:$DS$4,'Granular rates'!$D$5:$DS$5,0,0,1),'Inputs &amp; Assumptions'!$V$52)</f>
        <v>0.01</v>
      </c>
      <c r="CX9" s="441">
        <f>IF('Inputs &amp; Assumptions'!$V$51="Yes",_xlfn.XLOOKUP('Pro Forma'!CX4,'Granular rates'!$D$4:$DS$4,'Granular rates'!$D$5:$DS$5,0,0,1),'Inputs &amp; Assumptions'!$V$52)</f>
        <v>0.01</v>
      </c>
      <c r="CY9" s="441">
        <f>IF('Inputs &amp; Assumptions'!$V$51="Yes",_xlfn.XLOOKUP('Pro Forma'!CY4,'Granular rates'!$D$4:$DS$4,'Granular rates'!$D$5:$DS$5,0,0,1),'Inputs &amp; Assumptions'!$V$52)</f>
        <v>0.01</v>
      </c>
      <c r="CZ9" s="441">
        <f>IF('Inputs &amp; Assumptions'!$V$51="Yes",_xlfn.XLOOKUP('Pro Forma'!CZ4,'Granular rates'!$D$4:$DS$4,'Granular rates'!$D$5:$DS$5,0,0,1),'Inputs &amp; Assumptions'!$V$52)</f>
        <v>0.01</v>
      </c>
      <c r="DA9" s="441">
        <f>IF('Inputs &amp; Assumptions'!$V$51="Yes",_xlfn.XLOOKUP('Pro Forma'!DA4,'Granular rates'!$D$4:$DS$4,'Granular rates'!$D$5:$DS$5,0,0,1),'Inputs &amp; Assumptions'!$V$52)</f>
        <v>0.01</v>
      </c>
      <c r="DB9" s="441">
        <f>IF('Inputs &amp; Assumptions'!$V$51="Yes",_xlfn.XLOOKUP('Pro Forma'!DB4,'Granular rates'!$D$4:$DS$4,'Granular rates'!$D$5:$DS$5,0,0,1),'Inputs &amp; Assumptions'!$V$52)</f>
        <v>0.01</v>
      </c>
      <c r="DC9" s="441">
        <f>IF('Inputs &amp; Assumptions'!$V$51="Yes",_xlfn.XLOOKUP('Pro Forma'!DC4,'Granular rates'!$D$4:$DS$4,'Granular rates'!$D$5:$DS$5,0,0,1),'Inputs &amp; Assumptions'!$V$52)</f>
        <v>0.01</v>
      </c>
      <c r="DD9" s="441">
        <f>IF('Inputs &amp; Assumptions'!$V$51="Yes",_xlfn.XLOOKUP('Pro Forma'!DD4,'Granular rates'!$D$4:$DS$4,'Granular rates'!$D$5:$DS$5,0,0,1),'Inputs &amp; Assumptions'!$V$52)</f>
        <v>0.01</v>
      </c>
      <c r="DE9" s="441">
        <f>AVERAGE(CS9:DD9)</f>
        <v>9.9999999999999985E-3</v>
      </c>
      <c r="DF9" s="441">
        <f>IF('Inputs &amp; Assumptions'!$V$51="Yes",_xlfn.XLOOKUP('Pro Forma'!DF4,'Granular rates'!$D$4:$DS$4,'Granular rates'!$D$5:$DS$5,0,0,1),'Inputs &amp; Assumptions'!$V$52)</f>
        <v>0.01</v>
      </c>
      <c r="DG9" s="441">
        <f>IF('Inputs &amp; Assumptions'!$V$51="Yes",_xlfn.XLOOKUP('Pro Forma'!DG4,'Granular rates'!$D$4:$DS$4,'Granular rates'!$D$5:$DS$5,0,0,1),'Inputs &amp; Assumptions'!$V$52)</f>
        <v>0.01</v>
      </c>
      <c r="DH9" s="441">
        <f>IF('Inputs &amp; Assumptions'!$V$51="Yes",_xlfn.XLOOKUP('Pro Forma'!DH4,'Granular rates'!$D$4:$DS$4,'Granular rates'!$D$5:$DS$5,0,0,1),'Inputs &amp; Assumptions'!$V$52)</f>
        <v>0.01</v>
      </c>
      <c r="DI9" s="441">
        <f>IF('Inputs &amp; Assumptions'!$V$51="Yes",_xlfn.XLOOKUP('Pro Forma'!DI4,'Granular rates'!$D$4:$DS$4,'Granular rates'!$D$5:$DS$5,0,0,1),'Inputs &amp; Assumptions'!$V$52)</f>
        <v>0.01</v>
      </c>
      <c r="DJ9" s="441">
        <f>IF('Inputs &amp; Assumptions'!$V$51="Yes",_xlfn.XLOOKUP('Pro Forma'!DJ4,'Granular rates'!$D$4:$DS$4,'Granular rates'!$D$5:$DS$5,0,0,1),'Inputs &amp; Assumptions'!$V$52)</f>
        <v>0.01</v>
      </c>
      <c r="DK9" s="441">
        <f>IF('Inputs &amp; Assumptions'!$V$51="Yes",_xlfn.XLOOKUP('Pro Forma'!DK4,'Granular rates'!$D$4:$DS$4,'Granular rates'!$D$5:$DS$5,0,0,1),'Inputs &amp; Assumptions'!$V$52)</f>
        <v>0.01</v>
      </c>
      <c r="DL9" s="441">
        <f>IF('Inputs &amp; Assumptions'!$V$51="Yes",_xlfn.XLOOKUP('Pro Forma'!DL4,'Granular rates'!$D$4:$DS$4,'Granular rates'!$D$5:$DS$5,0,0,1),'Inputs &amp; Assumptions'!$V$52)</f>
        <v>0.01</v>
      </c>
      <c r="DM9" s="441">
        <f>IF('Inputs &amp; Assumptions'!$V$51="Yes",_xlfn.XLOOKUP('Pro Forma'!DM4,'Granular rates'!$D$4:$DS$4,'Granular rates'!$D$5:$DS$5,0,0,1),'Inputs &amp; Assumptions'!$V$52)</f>
        <v>0.01</v>
      </c>
      <c r="DN9" s="441">
        <f>IF('Inputs &amp; Assumptions'!$V$51="Yes",_xlfn.XLOOKUP('Pro Forma'!DN4,'Granular rates'!$D$4:$DS$4,'Granular rates'!$D$5:$DS$5,0,0,1),'Inputs &amp; Assumptions'!$V$52)</f>
        <v>0.01</v>
      </c>
      <c r="DO9" s="441">
        <f>IF('Inputs &amp; Assumptions'!$V$51="Yes",_xlfn.XLOOKUP('Pro Forma'!DO4,'Granular rates'!$D$4:$DS$4,'Granular rates'!$D$5:$DS$5,0,0,1),'Inputs &amp; Assumptions'!$V$52)</f>
        <v>0.01</v>
      </c>
      <c r="DP9" s="441">
        <f>IF('Inputs &amp; Assumptions'!$V$51="Yes",_xlfn.XLOOKUP('Pro Forma'!DP4,'Granular rates'!$D$4:$DS$4,'Granular rates'!$D$5:$DS$5,0,0,1),'Inputs &amp; Assumptions'!$V$52)</f>
        <v>0.01</v>
      </c>
      <c r="DQ9" s="441">
        <f>IF('Inputs &amp; Assumptions'!$V$51="Yes",_xlfn.XLOOKUP('Pro Forma'!DQ4,'Granular rates'!$D$4:$DS$4,'Granular rates'!$D$5:$DS$5,0,0,1),'Inputs &amp; Assumptions'!$V$52)</f>
        <v>0.01</v>
      </c>
      <c r="DR9" s="441">
        <f>AVERAGE(DF9:DQ9)</f>
        <v>9.9999999999999985E-3</v>
      </c>
      <c r="DS9" s="441">
        <f>IF('Inputs &amp; Assumptions'!$V$51="Yes",_xlfn.XLOOKUP('Pro Forma'!DS4,'Granular rates'!$D$4:$DS$4,'Granular rates'!$D$5:$DS$5,0,0,1),'Inputs &amp; Assumptions'!$V$52)</f>
        <v>0.01</v>
      </c>
      <c r="DT9" s="441">
        <f>IF('Inputs &amp; Assumptions'!$V$51="Yes",_xlfn.XLOOKUP('Pro Forma'!DT4,'Granular rates'!$D$4:$DS$4,'Granular rates'!$D$5:$DS$5,0,0,1),'Inputs &amp; Assumptions'!$V$52)</f>
        <v>0.01</v>
      </c>
      <c r="DU9" s="441">
        <f>IF('Inputs &amp; Assumptions'!$V$51="Yes",_xlfn.XLOOKUP('Pro Forma'!DU4,'Granular rates'!$D$4:$DS$4,'Granular rates'!$D$5:$DS$5,0,0,1),'Inputs &amp; Assumptions'!$V$52)</f>
        <v>0.01</v>
      </c>
      <c r="DV9" s="441">
        <f>IF('Inputs &amp; Assumptions'!$V$51="Yes",_xlfn.XLOOKUP('Pro Forma'!DV4,'Granular rates'!$D$4:$DS$4,'Granular rates'!$D$5:$DS$5,0,0,1),'Inputs &amp; Assumptions'!$V$52)</f>
        <v>0.01</v>
      </c>
      <c r="DW9" s="441">
        <f>IF('Inputs &amp; Assumptions'!$V$51="Yes",_xlfn.XLOOKUP('Pro Forma'!DW4,'Granular rates'!$D$4:$DS$4,'Granular rates'!$D$5:$DS$5,0,0,1),'Inputs &amp; Assumptions'!$V$52)</f>
        <v>0.01</v>
      </c>
      <c r="DX9" s="441">
        <f>IF('Inputs &amp; Assumptions'!$V$51="Yes",_xlfn.XLOOKUP('Pro Forma'!DX4,'Granular rates'!$D$4:$DS$4,'Granular rates'!$D$5:$DS$5,0,0,1),'Inputs &amp; Assumptions'!$V$52)</f>
        <v>0.01</v>
      </c>
      <c r="DY9" s="441">
        <f>IF('Inputs &amp; Assumptions'!$V$51="Yes",_xlfn.XLOOKUP('Pro Forma'!DY4,'Granular rates'!$D$4:$DS$4,'Granular rates'!$D$5:$DS$5,0,0,1),'Inputs &amp; Assumptions'!$V$52)</f>
        <v>0.01</v>
      </c>
      <c r="DZ9" s="441">
        <f>IF('Inputs &amp; Assumptions'!$V$51="Yes",_xlfn.XLOOKUP('Pro Forma'!DZ4,'Granular rates'!$D$4:$DS$4,'Granular rates'!$D$5:$DS$5,0,0,1),'Inputs &amp; Assumptions'!$V$52)</f>
        <v>0.01</v>
      </c>
      <c r="EA9" s="441">
        <f>IF('Inputs &amp; Assumptions'!$V$51="Yes",_xlfn.XLOOKUP('Pro Forma'!EA4,'Granular rates'!$D$4:$DS$4,'Granular rates'!$D$5:$DS$5,0,0,1),'Inputs &amp; Assumptions'!$V$52)</f>
        <v>0.01</v>
      </c>
      <c r="EB9" s="441">
        <f>IF('Inputs &amp; Assumptions'!$V$51="Yes",_xlfn.XLOOKUP('Pro Forma'!EB4,'Granular rates'!$D$4:$DS$4,'Granular rates'!$D$5:$DS$5,0,0,1),'Inputs &amp; Assumptions'!$V$52)</f>
        <v>0.01</v>
      </c>
      <c r="EC9" s="441">
        <f>IF('Inputs &amp; Assumptions'!$V$51="Yes",_xlfn.XLOOKUP('Pro Forma'!EC4,'Granular rates'!$D$4:$DS$4,'Granular rates'!$D$5:$DS$5,0,0,1),'Inputs &amp; Assumptions'!$V$52)</f>
        <v>0.01</v>
      </c>
      <c r="ED9" s="441">
        <f>IF('Inputs &amp; Assumptions'!$V$51="Yes",_xlfn.XLOOKUP('Pro Forma'!ED4,'Granular rates'!$D$4:$DS$4,'Granular rates'!$D$5:$DS$5,0,0,1),'Inputs &amp; Assumptions'!$V$52)</f>
        <v>0.01</v>
      </c>
      <c r="EE9" s="748">
        <f>AVERAGE(DS9:ED9)</f>
        <v>9.9999999999999985E-3</v>
      </c>
      <c r="EF9" s="387"/>
    </row>
    <row r="10" spans="2:168" s="443" customFormat="1">
      <c r="B10" s="749" t="str">
        <f>B13 &amp; " %"</f>
        <v>Vacancy Loss %</v>
      </c>
      <c r="E10" s="387"/>
      <c r="F10" s="387">
        <f>IF('Inputs &amp; Assumptions'!$V$51="Yes",_xlfn.XLOOKUP('Pro Forma'!F4,'Granular rates'!$D$4:$DS$4,'Granular rates'!$D$6:$DS$6,0,0,1),'Inputs &amp; Assumptions'!$V$56)</f>
        <v>0.1</v>
      </c>
      <c r="G10" s="387">
        <f>IF('Inputs &amp; Assumptions'!$V$51="Yes",_xlfn.XLOOKUP('Pro Forma'!G4,'Granular rates'!$D$4:$DS$4,'Granular rates'!$D$6:$DS$6,0,0,1),'Inputs &amp; Assumptions'!$V$56)</f>
        <v>0.1</v>
      </c>
      <c r="H10" s="387">
        <f>IF('Inputs &amp; Assumptions'!$V$51="Yes",_xlfn.XLOOKUP('Pro Forma'!H4,'Granular rates'!$D$4:$DS$4,'Granular rates'!$D$6:$DS$6,0,0,1),'Inputs &amp; Assumptions'!$V$56)</f>
        <v>0.1</v>
      </c>
      <c r="I10" s="387">
        <f>IF('Inputs &amp; Assumptions'!$V$51="Yes",_xlfn.XLOOKUP('Pro Forma'!I4,'Granular rates'!$D$4:$DS$4,'Granular rates'!$D$6:$DS$6,0,0,1),'Inputs &amp; Assumptions'!$V$56)</f>
        <v>0.1</v>
      </c>
      <c r="J10" s="387">
        <f>IF('Inputs &amp; Assumptions'!$V$51="Yes",_xlfn.XLOOKUP('Pro Forma'!J4,'Granular rates'!$D$4:$DS$4,'Granular rates'!$D$6:$DS$6,0,0,1),'Inputs &amp; Assumptions'!$V$56)</f>
        <v>0.1</v>
      </c>
      <c r="K10" s="387">
        <f>IF('Inputs &amp; Assumptions'!$V$51="Yes",_xlfn.XLOOKUP('Pro Forma'!K4,'Granular rates'!$D$4:$DS$4,'Granular rates'!$D$6:$DS$6,0,0,1),'Inputs &amp; Assumptions'!$V$56)</f>
        <v>0.1</v>
      </c>
      <c r="L10" s="387">
        <f>IF('Inputs &amp; Assumptions'!$V$51="Yes",_xlfn.XLOOKUP('Pro Forma'!L4,'Granular rates'!$D$4:$DS$4,'Granular rates'!$D$6:$DS$6,0,0,1),'Inputs &amp; Assumptions'!$V$56)</f>
        <v>0.1</v>
      </c>
      <c r="M10" s="387">
        <f>IF('Inputs &amp; Assumptions'!$V$51="Yes",_xlfn.XLOOKUP('Pro Forma'!M4,'Granular rates'!$D$4:$DS$4,'Granular rates'!$D$6:$DS$6,0,0,1),'Inputs &amp; Assumptions'!$V$56)</f>
        <v>0.1</v>
      </c>
      <c r="N10" s="387">
        <f>IF('Inputs &amp; Assumptions'!$V$51="Yes",_xlfn.XLOOKUP('Pro Forma'!N4,'Granular rates'!$D$4:$DS$4,'Granular rates'!$D$6:$DS$6,0,0,1),'Inputs &amp; Assumptions'!$V$56)</f>
        <v>0.1</v>
      </c>
      <c r="O10" s="387">
        <f>IF('Inputs &amp; Assumptions'!$V$51="Yes",_xlfn.XLOOKUP('Pro Forma'!O4,'Granular rates'!$D$4:$DS$4,'Granular rates'!$D$6:$DS$6,0,0,1),'Inputs &amp; Assumptions'!$V$56)</f>
        <v>0.1</v>
      </c>
      <c r="P10" s="387">
        <f>IF('Inputs &amp; Assumptions'!$V$51="Yes",_xlfn.XLOOKUP('Pro Forma'!P4,'Granular rates'!$D$4:$DS$4,'Granular rates'!$D$6:$DS$6,0,0,1),'Inputs &amp; Assumptions'!$V$56)</f>
        <v>0.1</v>
      </c>
      <c r="Q10" s="387">
        <f>IF('Inputs &amp; Assumptions'!$V$51="Yes",_xlfn.XLOOKUP('Pro Forma'!Q4,'Granular rates'!$D$4:$DS$4,'Granular rates'!$D$6:$DS$6,0,0,1),'Inputs &amp; Assumptions'!$V$56)</f>
        <v>0.1</v>
      </c>
      <c r="R10" s="387">
        <f>AVERAGE(F10:Q10)</f>
        <v>9.9999999999999992E-2</v>
      </c>
      <c r="S10" s="387">
        <f>IF('Inputs &amp; Assumptions'!$V$51="Yes",_xlfn.XLOOKUP('Pro Forma'!S4,'Granular rates'!$D$4:$DS$4,'Granular rates'!$D$6:$DS$6,0,0,1),'Inputs &amp; Assumptions'!$V$57)</f>
        <v>0.05</v>
      </c>
      <c r="T10" s="387">
        <f>IF('Inputs &amp; Assumptions'!$V$51="Yes",_xlfn.XLOOKUP('Pro Forma'!T4,'Granular rates'!$D$4:$DS$4,'Granular rates'!$D$6:$DS$6,0,0,1),'Inputs &amp; Assumptions'!$V$57)</f>
        <v>0.05</v>
      </c>
      <c r="U10" s="387">
        <f>IF('Inputs &amp; Assumptions'!$V$51="Yes",_xlfn.XLOOKUP('Pro Forma'!U4,'Granular rates'!$D$4:$DS$4,'Granular rates'!$D$6:$DS$6,0,0,1),'Inputs &amp; Assumptions'!$V$57)</f>
        <v>0.05</v>
      </c>
      <c r="V10" s="387">
        <f>IF('Inputs &amp; Assumptions'!$V$51="Yes",_xlfn.XLOOKUP('Pro Forma'!V4,'Granular rates'!$D$4:$DS$4,'Granular rates'!$D$6:$DS$6,0,0,1),'Inputs &amp; Assumptions'!$V$57)</f>
        <v>0.05</v>
      </c>
      <c r="W10" s="387">
        <f>IF('Inputs &amp; Assumptions'!$V$51="Yes",_xlfn.XLOOKUP('Pro Forma'!W4,'Granular rates'!$D$4:$DS$4,'Granular rates'!$D$6:$DS$6,0,0,1),'Inputs &amp; Assumptions'!$V$57)</f>
        <v>0.05</v>
      </c>
      <c r="X10" s="387">
        <f>IF('Inputs &amp; Assumptions'!$V$51="Yes",_xlfn.XLOOKUP('Pro Forma'!X4,'Granular rates'!$D$4:$DS$4,'Granular rates'!$D$6:$DS$6,0,0,1),'Inputs &amp; Assumptions'!$V$57)</f>
        <v>0.05</v>
      </c>
      <c r="Y10" s="387">
        <f>IF('Inputs &amp; Assumptions'!$V$51="Yes",_xlfn.XLOOKUP('Pro Forma'!Y4,'Granular rates'!$D$4:$DS$4,'Granular rates'!$D$6:$DS$6,0,0,1),'Inputs &amp; Assumptions'!$V$57)</f>
        <v>0.05</v>
      </c>
      <c r="Z10" s="387">
        <f>IF('Inputs &amp; Assumptions'!$V$51="Yes",_xlfn.XLOOKUP('Pro Forma'!Z4,'Granular rates'!$D$4:$DS$4,'Granular rates'!$D$6:$DS$6,0,0,1),'Inputs &amp; Assumptions'!$V$57)</f>
        <v>0.05</v>
      </c>
      <c r="AA10" s="387">
        <f>IF('Inputs &amp; Assumptions'!$V$51="Yes",_xlfn.XLOOKUP('Pro Forma'!AA4,'Granular rates'!$D$4:$DS$4,'Granular rates'!$D$6:$DS$6,0,0,1),'Inputs &amp; Assumptions'!$V$57)</f>
        <v>0.05</v>
      </c>
      <c r="AB10" s="387">
        <f>IF('Inputs &amp; Assumptions'!$V$51="Yes",_xlfn.XLOOKUP('Pro Forma'!AB4,'Granular rates'!$D$4:$DS$4,'Granular rates'!$D$6:$DS$6,0,0,1),'Inputs &amp; Assumptions'!$V$57)</f>
        <v>0.05</v>
      </c>
      <c r="AC10" s="387">
        <f>IF('Inputs &amp; Assumptions'!$V$51="Yes",_xlfn.XLOOKUP('Pro Forma'!AC4,'Granular rates'!$D$4:$DS$4,'Granular rates'!$D$6:$DS$6,0,0,1),'Inputs &amp; Assumptions'!$V$57)</f>
        <v>0.05</v>
      </c>
      <c r="AD10" s="387">
        <f>IF('Inputs &amp; Assumptions'!$V$51="Yes",_xlfn.XLOOKUP('Pro Forma'!AD4,'Granular rates'!$D$4:$DS$4,'Granular rates'!$D$6:$DS$6,0,0,1),'Inputs &amp; Assumptions'!$V$57)</f>
        <v>0.05</v>
      </c>
      <c r="AE10" s="387">
        <f>AVERAGE(S10:AD10)</f>
        <v>4.9999999999999996E-2</v>
      </c>
      <c r="AF10" s="387">
        <f>IF('Inputs &amp; Assumptions'!$V$51="Yes",_xlfn.XLOOKUP('Pro Forma'!AF4,'Granular rates'!$D$4:$DS$4,'Granular rates'!$D$6:$DS$6,0,0,1),'Inputs &amp; Assumptions'!$V$55)</f>
        <v>0.05</v>
      </c>
      <c r="AG10" s="387">
        <f>IF('Inputs &amp; Assumptions'!$V$51="Yes",_xlfn.XLOOKUP('Pro Forma'!AG4,'Granular rates'!$D$4:$DS$4,'Granular rates'!$D$6:$DS$6,0,0,1),'Inputs &amp; Assumptions'!$V$55)</f>
        <v>0.05</v>
      </c>
      <c r="AH10" s="387">
        <f>IF('Inputs &amp; Assumptions'!$V$51="Yes",_xlfn.XLOOKUP('Pro Forma'!AH4,'Granular rates'!$D$4:$DS$4,'Granular rates'!$D$6:$DS$6,0,0,1),'Inputs &amp; Assumptions'!$V$55)</f>
        <v>0.05</v>
      </c>
      <c r="AI10" s="387">
        <f>IF('Inputs &amp; Assumptions'!$V$51="Yes",_xlfn.XLOOKUP('Pro Forma'!AI4,'Granular rates'!$D$4:$DS$4,'Granular rates'!$D$6:$DS$6,0,0,1),'Inputs &amp; Assumptions'!$V$55)</f>
        <v>0.05</v>
      </c>
      <c r="AJ10" s="387">
        <f>IF('Inputs &amp; Assumptions'!$V$51="Yes",_xlfn.XLOOKUP('Pro Forma'!AJ4,'Granular rates'!$D$4:$DS$4,'Granular rates'!$D$6:$DS$6,0,0,1),'Inputs &amp; Assumptions'!$V$55)</f>
        <v>0.05</v>
      </c>
      <c r="AK10" s="387">
        <f>IF('Inputs &amp; Assumptions'!$V$51="Yes",_xlfn.XLOOKUP('Pro Forma'!AK4,'Granular rates'!$D$4:$DS$4,'Granular rates'!$D$6:$DS$6,0,0,1),'Inputs &amp; Assumptions'!$V$55)</f>
        <v>0.05</v>
      </c>
      <c r="AL10" s="387">
        <f>IF('Inputs &amp; Assumptions'!$V$51="Yes",_xlfn.XLOOKUP('Pro Forma'!AL4,'Granular rates'!$D$4:$DS$4,'Granular rates'!$D$6:$DS$6,0,0,1),'Inputs &amp; Assumptions'!$V$55)</f>
        <v>0.05</v>
      </c>
      <c r="AM10" s="387">
        <f>IF('Inputs &amp; Assumptions'!$V$51="Yes",_xlfn.XLOOKUP('Pro Forma'!AM4,'Granular rates'!$D$4:$DS$4,'Granular rates'!$D$6:$DS$6,0,0,1),'Inputs &amp; Assumptions'!$V$55)</f>
        <v>0.05</v>
      </c>
      <c r="AN10" s="387">
        <f>IF('Inputs &amp; Assumptions'!$V$51="Yes",_xlfn.XLOOKUP('Pro Forma'!AN4,'Granular rates'!$D$4:$DS$4,'Granular rates'!$D$6:$DS$6,0,0,1),'Inputs &amp; Assumptions'!$V$55)</f>
        <v>0.05</v>
      </c>
      <c r="AO10" s="387">
        <f>IF('Inputs &amp; Assumptions'!$V$51="Yes",_xlfn.XLOOKUP('Pro Forma'!AO4,'Granular rates'!$D$4:$DS$4,'Granular rates'!$D$6:$DS$6,0,0,1),'Inputs &amp; Assumptions'!$V$55)</f>
        <v>0.05</v>
      </c>
      <c r="AP10" s="387">
        <f>IF('Inputs &amp; Assumptions'!$V$51="Yes",_xlfn.XLOOKUP('Pro Forma'!AP4,'Granular rates'!$D$4:$DS$4,'Granular rates'!$D$6:$DS$6,0,0,1),'Inputs &amp; Assumptions'!$V$55)</f>
        <v>0.05</v>
      </c>
      <c r="AQ10" s="387">
        <f>IF('Inputs &amp; Assumptions'!$V$51="Yes",_xlfn.XLOOKUP('Pro Forma'!AQ4,'Granular rates'!$D$4:$DS$4,'Granular rates'!$D$6:$DS$6,0,0,1),'Inputs &amp; Assumptions'!$V$55)</f>
        <v>0.05</v>
      </c>
      <c r="AR10" s="387">
        <f>AVERAGE(AF10:AQ10)</f>
        <v>4.9999999999999996E-2</v>
      </c>
      <c r="AS10" s="387">
        <f>IF('Inputs &amp; Assumptions'!$V$51="Yes",_xlfn.XLOOKUP('Pro Forma'!AS4,'Granular rates'!$D$4:$DS$4,'Granular rates'!$D$6:$DS$6,0,0,1),'Inputs &amp; Assumptions'!$V$55)</f>
        <v>0.05</v>
      </c>
      <c r="AT10" s="387">
        <f>IF('Inputs &amp; Assumptions'!$V$51="Yes",_xlfn.XLOOKUP('Pro Forma'!AT4,'Granular rates'!$D$4:$DS$4,'Granular rates'!$D$6:$DS$6,0,0,1),'Inputs &amp; Assumptions'!$V$55)</f>
        <v>0.05</v>
      </c>
      <c r="AU10" s="387">
        <f>IF('Inputs &amp; Assumptions'!$V$51="Yes",_xlfn.XLOOKUP('Pro Forma'!AU4,'Granular rates'!$D$4:$DS$4,'Granular rates'!$D$6:$DS$6,0,0,1),'Inputs &amp; Assumptions'!$V$55)</f>
        <v>0.05</v>
      </c>
      <c r="AV10" s="387">
        <f>IF('Inputs &amp; Assumptions'!$V$51="Yes",_xlfn.XLOOKUP('Pro Forma'!AV4,'Granular rates'!$D$4:$DS$4,'Granular rates'!$D$6:$DS$6,0,0,1),'Inputs &amp; Assumptions'!$V$55)</f>
        <v>0.05</v>
      </c>
      <c r="AW10" s="387">
        <f>IF('Inputs &amp; Assumptions'!$V$51="Yes",_xlfn.XLOOKUP('Pro Forma'!AW4,'Granular rates'!$D$4:$DS$4,'Granular rates'!$D$6:$DS$6,0,0,1),'Inputs &amp; Assumptions'!$V$55)</f>
        <v>0.05</v>
      </c>
      <c r="AX10" s="387">
        <f>IF('Inputs &amp; Assumptions'!$V$51="Yes",_xlfn.XLOOKUP('Pro Forma'!AX4,'Granular rates'!$D$4:$DS$4,'Granular rates'!$D$6:$DS$6,0,0,1),'Inputs &amp; Assumptions'!$V$55)</f>
        <v>0.05</v>
      </c>
      <c r="AY10" s="387">
        <f>IF('Inputs &amp; Assumptions'!$V$51="Yes",_xlfn.XLOOKUP('Pro Forma'!AY4,'Granular rates'!$D$4:$DS$4,'Granular rates'!$D$6:$DS$6,0,0,1),'Inputs &amp; Assumptions'!$V$55)</f>
        <v>0.05</v>
      </c>
      <c r="AZ10" s="387">
        <f>IF('Inputs &amp; Assumptions'!$V$51="Yes",_xlfn.XLOOKUP('Pro Forma'!AZ4,'Granular rates'!$D$4:$DS$4,'Granular rates'!$D$6:$DS$6,0,0,1),'Inputs &amp; Assumptions'!$V$55)</f>
        <v>0.05</v>
      </c>
      <c r="BA10" s="387">
        <f>IF('Inputs &amp; Assumptions'!$V$51="Yes",_xlfn.XLOOKUP('Pro Forma'!BA4,'Granular rates'!$D$4:$DS$4,'Granular rates'!$D$6:$DS$6,0,0,1),'Inputs &amp; Assumptions'!$V$55)</f>
        <v>0.05</v>
      </c>
      <c r="BB10" s="387">
        <f>IF('Inputs &amp; Assumptions'!$V$51="Yes",_xlfn.XLOOKUP('Pro Forma'!BB4,'Granular rates'!$D$4:$DS$4,'Granular rates'!$D$6:$DS$6,0,0,1),'Inputs &amp; Assumptions'!$V$55)</f>
        <v>0.05</v>
      </c>
      <c r="BC10" s="387">
        <f>IF('Inputs &amp; Assumptions'!$V$51="Yes",_xlfn.XLOOKUP('Pro Forma'!BC4,'Granular rates'!$D$4:$DS$4,'Granular rates'!$D$6:$DS$6,0,0,1),'Inputs &amp; Assumptions'!$V$55)</f>
        <v>0.05</v>
      </c>
      <c r="BD10" s="387">
        <f>IF('Inputs &amp; Assumptions'!$V$51="Yes",_xlfn.XLOOKUP('Pro Forma'!BD4,'Granular rates'!$D$4:$DS$4,'Granular rates'!$D$6:$DS$6,0,0,1),'Inputs &amp; Assumptions'!$V$55)</f>
        <v>0.05</v>
      </c>
      <c r="BE10" s="387">
        <f>AVERAGE(AS10:BD10)</f>
        <v>4.9999999999999996E-2</v>
      </c>
      <c r="BF10" s="387">
        <f>IF('Inputs &amp; Assumptions'!$V$51="Yes",_xlfn.XLOOKUP('Pro Forma'!BF4,'Granular rates'!$D$4:$DS$4,'Granular rates'!$D$6:$DS$6,0,0,1),'Inputs &amp; Assumptions'!$V$55)</f>
        <v>0.05</v>
      </c>
      <c r="BG10" s="387">
        <f>IF('Inputs &amp; Assumptions'!$V$51="Yes",_xlfn.XLOOKUP('Pro Forma'!BG4,'Granular rates'!$D$4:$DS$4,'Granular rates'!$D$6:$DS$6,0,0,1),'Inputs &amp; Assumptions'!$V$55)</f>
        <v>0.05</v>
      </c>
      <c r="BH10" s="387">
        <f>IF('Inputs &amp; Assumptions'!$V$51="Yes",_xlfn.XLOOKUP('Pro Forma'!BH4,'Granular rates'!$D$4:$DS$4,'Granular rates'!$D$6:$DS$6,0,0,1),'Inputs &amp; Assumptions'!$V$55)</f>
        <v>0.05</v>
      </c>
      <c r="BI10" s="387">
        <f>IF('Inputs &amp; Assumptions'!$V$51="Yes",_xlfn.XLOOKUP('Pro Forma'!BI4,'Granular rates'!$D$4:$DS$4,'Granular rates'!$D$6:$DS$6,0,0,1),'Inputs &amp; Assumptions'!$V$55)</f>
        <v>0.05</v>
      </c>
      <c r="BJ10" s="387">
        <f>IF('Inputs &amp; Assumptions'!$V$51="Yes",_xlfn.XLOOKUP('Pro Forma'!BJ4,'Granular rates'!$D$4:$DS$4,'Granular rates'!$D$6:$DS$6,0,0,1),'Inputs &amp; Assumptions'!$V$55)</f>
        <v>0.05</v>
      </c>
      <c r="BK10" s="387">
        <f>IF('Inputs &amp; Assumptions'!$V$51="Yes",_xlfn.XLOOKUP('Pro Forma'!BK4,'Granular rates'!$D$4:$DS$4,'Granular rates'!$D$6:$DS$6,0,0,1),'Inputs &amp; Assumptions'!$V$55)</f>
        <v>0.05</v>
      </c>
      <c r="BL10" s="387">
        <f>IF('Inputs &amp; Assumptions'!$V$51="Yes",_xlfn.XLOOKUP('Pro Forma'!BL4,'Granular rates'!$D$4:$DS$4,'Granular rates'!$D$6:$DS$6,0,0,1),'Inputs &amp; Assumptions'!$V$55)</f>
        <v>0.05</v>
      </c>
      <c r="BM10" s="387">
        <f>IF('Inputs &amp; Assumptions'!$V$51="Yes",_xlfn.XLOOKUP('Pro Forma'!BM4,'Granular rates'!$D$4:$DS$4,'Granular rates'!$D$6:$DS$6,0,0,1),'Inputs &amp; Assumptions'!$V$55)</f>
        <v>0.05</v>
      </c>
      <c r="BN10" s="387">
        <f>IF('Inputs &amp; Assumptions'!$V$51="Yes",_xlfn.XLOOKUP('Pro Forma'!BN4,'Granular rates'!$D$4:$DS$4,'Granular rates'!$D$6:$DS$6,0,0,1),'Inputs &amp; Assumptions'!$V$55)</f>
        <v>0.05</v>
      </c>
      <c r="BO10" s="387">
        <f>IF('Inputs &amp; Assumptions'!$V$51="Yes",_xlfn.XLOOKUP('Pro Forma'!BO4,'Granular rates'!$D$4:$DS$4,'Granular rates'!$D$6:$DS$6,0,0,1),'Inputs &amp; Assumptions'!$V$55)</f>
        <v>0.05</v>
      </c>
      <c r="BP10" s="387">
        <f>IF('Inputs &amp; Assumptions'!$V$51="Yes",_xlfn.XLOOKUP('Pro Forma'!BP4,'Granular rates'!$D$4:$DS$4,'Granular rates'!$D$6:$DS$6,0,0,1),'Inputs &amp; Assumptions'!$V$55)</f>
        <v>0.05</v>
      </c>
      <c r="BQ10" s="387">
        <f>IF('Inputs &amp; Assumptions'!$V$51="Yes",_xlfn.XLOOKUP('Pro Forma'!BQ4,'Granular rates'!$D$4:$DS$4,'Granular rates'!$D$6:$DS$6,0,0,1),'Inputs &amp; Assumptions'!$V$55)</f>
        <v>0.05</v>
      </c>
      <c r="BR10" s="387">
        <f>AVERAGE(BF10:BQ10)</f>
        <v>4.9999999999999996E-2</v>
      </c>
      <c r="BS10" s="387">
        <f>IF('Inputs &amp; Assumptions'!$V$51="Yes",_xlfn.XLOOKUP('Pro Forma'!BS4,'Granular rates'!$D$4:$DS$4,'Granular rates'!$D$6:$DS$6,0,0,1),'Inputs &amp; Assumptions'!$V$55)</f>
        <v>0.05</v>
      </c>
      <c r="BT10" s="387">
        <f>IF('Inputs &amp; Assumptions'!$V$51="Yes",_xlfn.XLOOKUP('Pro Forma'!BT4,'Granular rates'!$D$4:$DS$4,'Granular rates'!$D$6:$DS$6,0,0,1),'Inputs &amp; Assumptions'!$V$55)</f>
        <v>0.05</v>
      </c>
      <c r="BU10" s="387">
        <f>IF('Inputs &amp; Assumptions'!$V$51="Yes",_xlfn.XLOOKUP('Pro Forma'!BU4,'Granular rates'!$D$4:$DS$4,'Granular rates'!$D$6:$DS$6,0,0,1),'Inputs &amp; Assumptions'!$V$55)</f>
        <v>0.05</v>
      </c>
      <c r="BV10" s="387">
        <f>IF('Inputs &amp; Assumptions'!$V$51="Yes",_xlfn.XLOOKUP('Pro Forma'!BV4,'Granular rates'!$D$4:$DS$4,'Granular rates'!$D$6:$DS$6,0,0,1),'Inputs &amp; Assumptions'!$V$55)</f>
        <v>0.05</v>
      </c>
      <c r="BW10" s="387">
        <f>IF('Inputs &amp; Assumptions'!$V$51="Yes",_xlfn.XLOOKUP('Pro Forma'!BW4,'Granular rates'!$D$4:$DS$4,'Granular rates'!$D$6:$DS$6,0,0,1),'Inputs &amp; Assumptions'!$V$55)</f>
        <v>0.05</v>
      </c>
      <c r="BX10" s="387">
        <f>IF('Inputs &amp; Assumptions'!$V$51="Yes",_xlfn.XLOOKUP('Pro Forma'!BX4,'Granular rates'!$D$4:$DS$4,'Granular rates'!$D$6:$DS$6,0,0,1),'Inputs &amp; Assumptions'!$V$55)</f>
        <v>0.05</v>
      </c>
      <c r="BY10" s="387">
        <f>IF('Inputs &amp; Assumptions'!$V$51="Yes",_xlfn.XLOOKUP('Pro Forma'!BY4,'Granular rates'!$D$4:$DS$4,'Granular rates'!$D$6:$DS$6,0,0,1),'Inputs &amp; Assumptions'!$V$55)</f>
        <v>0.05</v>
      </c>
      <c r="BZ10" s="387">
        <f>IF('Inputs &amp; Assumptions'!$V$51="Yes",_xlfn.XLOOKUP('Pro Forma'!BZ4,'Granular rates'!$D$4:$DS$4,'Granular rates'!$D$6:$DS$6,0,0,1),'Inputs &amp; Assumptions'!$V$55)</f>
        <v>0.05</v>
      </c>
      <c r="CA10" s="387">
        <f>IF('Inputs &amp; Assumptions'!$V$51="Yes",_xlfn.XLOOKUP('Pro Forma'!CA4,'Granular rates'!$D$4:$DS$4,'Granular rates'!$D$6:$DS$6,0,0,1),'Inputs &amp; Assumptions'!$V$55)</f>
        <v>0.05</v>
      </c>
      <c r="CB10" s="387">
        <f>IF('Inputs &amp; Assumptions'!$V$51="Yes",_xlfn.XLOOKUP('Pro Forma'!CB4,'Granular rates'!$D$4:$DS$4,'Granular rates'!$D$6:$DS$6,0,0,1),'Inputs &amp; Assumptions'!$V$55)</f>
        <v>0.05</v>
      </c>
      <c r="CC10" s="387">
        <f>IF('Inputs &amp; Assumptions'!$V$51="Yes",_xlfn.XLOOKUP('Pro Forma'!CC4,'Granular rates'!$D$4:$DS$4,'Granular rates'!$D$6:$DS$6,0,0,1),'Inputs &amp; Assumptions'!$V$55)</f>
        <v>0.05</v>
      </c>
      <c r="CD10" s="387">
        <f>IF('Inputs &amp; Assumptions'!$V$51="Yes",_xlfn.XLOOKUP('Pro Forma'!CD4,'Granular rates'!$D$4:$DS$4,'Granular rates'!$D$6:$DS$6,0,0,1),'Inputs &amp; Assumptions'!$V$55)</f>
        <v>0.05</v>
      </c>
      <c r="CE10" s="387">
        <f>AVERAGE(BS10:CD10)</f>
        <v>4.9999999999999996E-2</v>
      </c>
      <c r="CF10" s="387">
        <f>IF('Inputs &amp; Assumptions'!$V$51="Yes",_xlfn.XLOOKUP('Pro Forma'!CF4,'Granular rates'!$D$4:$DS$4,'Granular rates'!$D$6:$DS$6,0,0,1),'Inputs &amp; Assumptions'!$V$55)</f>
        <v>0.05</v>
      </c>
      <c r="CG10" s="387">
        <f>IF('Inputs &amp; Assumptions'!$V$51="Yes",_xlfn.XLOOKUP('Pro Forma'!CG4,'Granular rates'!$D$4:$DS$4,'Granular rates'!$D$6:$DS$6,0,0,1),'Inputs &amp; Assumptions'!$V$55)</f>
        <v>0.05</v>
      </c>
      <c r="CH10" s="387">
        <f>IF('Inputs &amp; Assumptions'!$V$51="Yes",_xlfn.XLOOKUP('Pro Forma'!CH4,'Granular rates'!$D$4:$DS$4,'Granular rates'!$D$6:$DS$6,0,0,1),'Inputs &amp; Assumptions'!$V$55)</f>
        <v>0.05</v>
      </c>
      <c r="CI10" s="387">
        <f>IF('Inputs &amp; Assumptions'!$V$51="Yes",_xlfn.XLOOKUP('Pro Forma'!CI4,'Granular rates'!$D$4:$DS$4,'Granular rates'!$D$6:$DS$6,0,0,1),'Inputs &amp; Assumptions'!$V$55)</f>
        <v>0.05</v>
      </c>
      <c r="CJ10" s="387">
        <f>IF('Inputs &amp; Assumptions'!$V$51="Yes",_xlfn.XLOOKUP('Pro Forma'!CJ4,'Granular rates'!$D$4:$DS$4,'Granular rates'!$D$6:$DS$6,0,0,1),'Inputs &amp; Assumptions'!$V$55)</f>
        <v>0.05</v>
      </c>
      <c r="CK10" s="387">
        <f>IF('Inputs &amp; Assumptions'!$V$51="Yes",_xlfn.XLOOKUP('Pro Forma'!CK4,'Granular rates'!$D$4:$DS$4,'Granular rates'!$D$6:$DS$6,0,0,1),'Inputs &amp; Assumptions'!$V$55)</f>
        <v>0.05</v>
      </c>
      <c r="CL10" s="387">
        <f>IF('Inputs &amp; Assumptions'!$V$51="Yes",_xlfn.XLOOKUP('Pro Forma'!CL4,'Granular rates'!$D$4:$DS$4,'Granular rates'!$D$6:$DS$6,0,0,1),'Inputs &amp; Assumptions'!$V$55)</f>
        <v>0.05</v>
      </c>
      <c r="CM10" s="387">
        <f>IF('Inputs &amp; Assumptions'!$V$51="Yes",_xlfn.XLOOKUP('Pro Forma'!CM4,'Granular rates'!$D$4:$DS$4,'Granular rates'!$D$6:$DS$6,0,0,1),'Inputs &amp; Assumptions'!$V$55)</f>
        <v>0.05</v>
      </c>
      <c r="CN10" s="387">
        <f>IF('Inputs &amp; Assumptions'!$V$51="Yes",_xlfn.XLOOKUP('Pro Forma'!CN4,'Granular rates'!$D$4:$DS$4,'Granular rates'!$D$6:$DS$6,0,0,1),'Inputs &amp; Assumptions'!$V$55)</f>
        <v>0.05</v>
      </c>
      <c r="CO10" s="387">
        <f>IF('Inputs &amp; Assumptions'!$V$51="Yes",_xlfn.XLOOKUP('Pro Forma'!CO4,'Granular rates'!$D$4:$DS$4,'Granular rates'!$D$6:$DS$6,0,0,1),'Inputs &amp; Assumptions'!$V$55)</f>
        <v>0.05</v>
      </c>
      <c r="CP10" s="387">
        <f>IF('Inputs &amp; Assumptions'!$V$51="Yes",_xlfn.XLOOKUP('Pro Forma'!CP4,'Granular rates'!$D$4:$DS$4,'Granular rates'!$D$6:$DS$6,0,0,1),'Inputs &amp; Assumptions'!$V$55)</f>
        <v>0.05</v>
      </c>
      <c r="CQ10" s="387">
        <f>IF('Inputs &amp; Assumptions'!$V$51="Yes",_xlfn.XLOOKUP('Pro Forma'!CQ4,'Granular rates'!$D$4:$DS$4,'Granular rates'!$D$6:$DS$6,0,0,1),'Inputs &amp; Assumptions'!$V$55)</f>
        <v>0.05</v>
      </c>
      <c r="CR10" s="387">
        <f>AVERAGE(CF10:CQ10)</f>
        <v>4.9999999999999996E-2</v>
      </c>
      <c r="CS10" s="387">
        <f>IF('Inputs &amp; Assumptions'!$V$51="Yes",_xlfn.XLOOKUP('Pro Forma'!CS4,'Granular rates'!$D$4:$DS$4,'Granular rates'!$D$6:$DS$6,0,0,1),'Inputs &amp; Assumptions'!$V$55)</f>
        <v>0.05</v>
      </c>
      <c r="CT10" s="387">
        <f>IF('Inputs &amp; Assumptions'!$V$51="Yes",_xlfn.XLOOKUP('Pro Forma'!CT4,'Granular rates'!$D$4:$DS$4,'Granular rates'!$D$6:$DS$6,0,0,1),'Inputs &amp; Assumptions'!$V$55)</f>
        <v>0.05</v>
      </c>
      <c r="CU10" s="387">
        <f>IF('Inputs &amp; Assumptions'!$V$51="Yes",_xlfn.XLOOKUP('Pro Forma'!CU4,'Granular rates'!$D$4:$DS$4,'Granular rates'!$D$6:$DS$6,0,0,1),'Inputs &amp; Assumptions'!$V$55)</f>
        <v>0.05</v>
      </c>
      <c r="CV10" s="387">
        <f>IF('Inputs &amp; Assumptions'!$V$51="Yes",_xlfn.XLOOKUP('Pro Forma'!CV4,'Granular rates'!$D$4:$DS$4,'Granular rates'!$D$6:$DS$6,0,0,1),'Inputs &amp; Assumptions'!$V$55)</f>
        <v>0.05</v>
      </c>
      <c r="CW10" s="387">
        <f>IF('Inputs &amp; Assumptions'!$V$51="Yes",_xlfn.XLOOKUP('Pro Forma'!CW4,'Granular rates'!$D$4:$DS$4,'Granular rates'!$D$6:$DS$6,0,0,1),'Inputs &amp; Assumptions'!$V$55)</f>
        <v>0.05</v>
      </c>
      <c r="CX10" s="387">
        <f>IF('Inputs &amp; Assumptions'!$V$51="Yes",_xlfn.XLOOKUP('Pro Forma'!CX4,'Granular rates'!$D$4:$DS$4,'Granular rates'!$D$6:$DS$6,0,0,1),'Inputs &amp; Assumptions'!$V$55)</f>
        <v>0.05</v>
      </c>
      <c r="CY10" s="387">
        <f>IF('Inputs &amp; Assumptions'!$V$51="Yes",_xlfn.XLOOKUP('Pro Forma'!CY4,'Granular rates'!$D$4:$DS$4,'Granular rates'!$D$6:$DS$6,0,0,1),'Inputs &amp; Assumptions'!$V$55)</f>
        <v>0.05</v>
      </c>
      <c r="CZ10" s="387">
        <f>IF('Inputs &amp; Assumptions'!$V$51="Yes",_xlfn.XLOOKUP('Pro Forma'!CZ4,'Granular rates'!$D$4:$DS$4,'Granular rates'!$D$6:$DS$6,0,0,1),'Inputs &amp; Assumptions'!$V$55)</f>
        <v>0.05</v>
      </c>
      <c r="DA10" s="387">
        <f>IF('Inputs &amp; Assumptions'!$V$51="Yes",_xlfn.XLOOKUP('Pro Forma'!DA4,'Granular rates'!$D$4:$DS$4,'Granular rates'!$D$6:$DS$6,0,0,1),'Inputs &amp; Assumptions'!$V$55)</f>
        <v>0.05</v>
      </c>
      <c r="DB10" s="387">
        <f>IF('Inputs &amp; Assumptions'!$V$51="Yes",_xlfn.XLOOKUP('Pro Forma'!DB4,'Granular rates'!$D$4:$DS$4,'Granular rates'!$D$6:$DS$6,0,0,1),'Inputs &amp; Assumptions'!$V$55)</f>
        <v>0.05</v>
      </c>
      <c r="DC10" s="387">
        <f>IF('Inputs &amp; Assumptions'!$V$51="Yes",_xlfn.XLOOKUP('Pro Forma'!DC4,'Granular rates'!$D$4:$DS$4,'Granular rates'!$D$6:$DS$6,0,0,1),'Inputs &amp; Assumptions'!$V$55)</f>
        <v>0.05</v>
      </c>
      <c r="DD10" s="387">
        <f>IF('Inputs &amp; Assumptions'!$V$51="Yes",_xlfn.XLOOKUP('Pro Forma'!DD4,'Granular rates'!$D$4:$DS$4,'Granular rates'!$D$6:$DS$6,0,0,1),'Inputs &amp; Assumptions'!$V$55)</f>
        <v>0.05</v>
      </c>
      <c r="DE10" s="387">
        <f>AVERAGE(CS10:DD10)</f>
        <v>4.9999999999999996E-2</v>
      </c>
      <c r="DF10" s="387">
        <f>IF('Inputs &amp; Assumptions'!$V$51="Yes",_xlfn.XLOOKUP('Pro Forma'!DF4,'Granular rates'!$D$4:$DS$4,'Granular rates'!$D$6:$DS$6,0,0,1),'Inputs &amp; Assumptions'!$V$55)</f>
        <v>0.05</v>
      </c>
      <c r="DG10" s="387">
        <f>IF('Inputs &amp; Assumptions'!$V$51="Yes",_xlfn.XLOOKUP('Pro Forma'!DG4,'Granular rates'!$D$4:$DS$4,'Granular rates'!$D$6:$DS$6,0,0,1),'Inputs &amp; Assumptions'!$V$55)</f>
        <v>0.05</v>
      </c>
      <c r="DH10" s="387">
        <f>IF('Inputs &amp; Assumptions'!$V$51="Yes",_xlfn.XLOOKUP('Pro Forma'!DH4,'Granular rates'!$D$4:$DS$4,'Granular rates'!$D$6:$DS$6,0,0,1),'Inputs &amp; Assumptions'!$V$55)</f>
        <v>0.05</v>
      </c>
      <c r="DI10" s="387">
        <f>IF('Inputs &amp; Assumptions'!$V$51="Yes",_xlfn.XLOOKUP('Pro Forma'!DI4,'Granular rates'!$D$4:$DS$4,'Granular rates'!$D$6:$DS$6,0,0,1),'Inputs &amp; Assumptions'!$V$55)</f>
        <v>0.05</v>
      </c>
      <c r="DJ10" s="387">
        <f>IF('Inputs &amp; Assumptions'!$V$51="Yes",_xlfn.XLOOKUP('Pro Forma'!DJ4,'Granular rates'!$D$4:$DS$4,'Granular rates'!$D$6:$DS$6,0,0,1),'Inputs &amp; Assumptions'!$V$55)</f>
        <v>0.05</v>
      </c>
      <c r="DK10" s="387">
        <f>IF('Inputs &amp; Assumptions'!$V$51="Yes",_xlfn.XLOOKUP('Pro Forma'!DK4,'Granular rates'!$D$4:$DS$4,'Granular rates'!$D$6:$DS$6,0,0,1),'Inputs &amp; Assumptions'!$V$55)</f>
        <v>0.05</v>
      </c>
      <c r="DL10" s="387">
        <f>IF('Inputs &amp; Assumptions'!$V$51="Yes",_xlfn.XLOOKUP('Pro Forma'!DL4,'Granular rates'!$D$4:$DS$4,'Granular rates'!$D$6:$DS$6,0,0,1),'Inputs &amp; Assumptions'!$V$55)</f>
        <v>0.05</v>
      </c>
      <c r="DM10" s="387">
        <f>IF('Inputs &amp; Assumptions'!$V$51="Yes",_xlfn.XLOOKUP('Pro Forma'!DM4,'Granular rates'!$D$4:$DS$4,'Granular rates'!$D$6:$DS$6,0,0,1),'Inputs &amp; Assumptions'!$V$55)</f>
        <v>0.05</v>
      </c>
      <c r="DN10" s="387">
        <f>IF('Inputs &amp; Assumptions'!$V$51="Yes",_xlfn.XLOOKUP('Pro Forma'!DN4,'Granular rates'!$D$4:$DS$4,'Granular rates'!$D$6:$DS$6,0,0,1),'Inputs &amp; Assumptions'!$V$55)</f>
        <v>0.05</v>
      </c>
      <c r="DO10" s="387">
        <f>IF('Inputs &amp; Assumptions'!$V$51="Yes",_xlfn.XLOOKUP('Pro Forma'!DO4,'Granular rates'!$D$4:$DS$4,'Granular rates'!$D$6:$DS$6,0,0,1),'Inputs &amp; Assumptions'!$V$55)</f>
        <v>0.05</v>
      </c>
      <c r="DP10" s="387">
        <f>IF('Inputs &amp; Assumptions'!$V$51="Yes",_xlfn.XLOOKUP('Pro Forma'!DP4,'Granular rates'!$D$4:$DS$4,'Granular rates'!$D$6:$DS$6,0,0,1),'Inputs &amp; Assumptions'!$V$55)</f>
        <v>0.05</v>
      </c>
      <c r="DQ10" s="387">
        <f>IF('Inputs &amp; Assumptions'!$V$51="Yes",_xlfn.XLOOKUP('Pro Forma'!DQ4,'Granular rates'!$D$4:$DS$4,'Granular rates'!$D$6:$DS$6,0,0,1),'Inputs &amp; Assumptions'!$V$55)</f>
        <v>0.05</v>
      </c>
      <c r="DR10" s="387">
        <f>AVERAGE(DF10:DQ10)</f>
        <v>4.9999999999999996E-2</v>
      </c>
      <c r="DS10" s="387">
        <f>IF('Inputs &amp; Assumptions'!$V$51="Yes",_xlfn.XLOOKUP('Pro Forma'!DS4,'Granular rates'!$D$4:$DS$4,'Granular rates'!$D$6:$DS$6,0,0,1),'Inputs &amp; Assumptions'!$V$55)</f>
        <v>0.05</v>
      </c>
      <c r="DT10" s="387">
        <f>IF('Inputs &amp; Assumptions'!$V$51="Yes",_xlfn.XLOOKUP('Pro Forma'!DT4,'Granular rates'!$D$4:$DS$4,'Granular rates'!$D$6:$DS$6,0,0,1),'Inputs &amp; Assumptions'!$V$55)</f>
        <v>0.05</v>
      </c>
      <c r="DU10" s="387">
        <f>IF('Inputs &amp; Assumptions'!$V$51="Yes",_xlfn.XLOOKUP('Pro Forma'!DU4,'Granular rates'!$D$4:$DS$4,'Granular rates'!$D$6:$DS$6,0,0,1),'Inputs &amp; Assumptions'!$V$55)</f>
        <v>0.05</v>
      </c>
      <c r="DV10" s="387">
        <f>IF('Inputs &amp; Assumptions'!$V$51="Yes",_xlfn.XLOOKUP('Pro Forma'!DV4,'Granular rates'!$D$4:$DS$4,'Granular rates'!$D$6:$DS$6,0,0,1),'Inputs &amp; Assumptions'!$V$55)</f>
        <v>0.05</v>
      </c>
      <c r="DW10" s="387">
        <f>IF('Inputs &amp; Assumptions'!$V$51="Yes",_xlfn.XLOOKUP('Pro Forma'!DW4,'Granular rates'!$D$4:$DS$4,'Granular rates'!$D$6:$DS$6,0,0,1),'Inputs &amp; Assumptions'!$V$55)</f>
        <v>0.05</v>
      </c>
      <c r="DX10" s="387">
        <f>IF('Inputs &amp; Assumptions'!$V$51="Yes",_xlfn.XLOOKUP('Pro Forma'!DX4,'Granular rates'!$D$4:$DS$4,'Granular rates'!$D$6:$DS$6,0,0,1),'Inputs &amp; Assumptions'!$V$55)</f>
        <v>0.05</v>
      </c>
      <c r="DY10" s="387">
        <f>IF('Inputs &amp; Assumptions'!$V$51="Yes",_xlfn.XLOOKUP('Pro Forma'!DY4,'Granular rates'!$D$4:$DS$4,'Granular rates'!$D$6:$DS$6,0,0,1),'Inputs &amp; Assumptions'!$V$55)</f>
        <v>0.05</v>
      </c>
      <c r="DZ10" s="387">
        <f>IF('Inputs &amp; Assumptions'!$V$51="Yes",_xlfn.XLOOKUP('Pro Forma'!DZ4,'Granular rates'!$D$4:$DS$4,'Granular rates'!$D$6:$DS$6,0,0,1),'Inputs &amp; Assumptions'!$V$55)</f>
        <v>0.05</v>
      </c>
      <c r="EA10" s="387">
        <f>IF('Inputs &amp; Assumptions'!$V$51="Yes",_xlfn.XLOOKUP('Pro Forma'!EA4,'Granular rates'!$D$4:$DS$4,'Granular rates'!$D$6:$DS$6,0,0,1),'Inputs &amp; Assumptions'!$V$55)</f>
        <v>0.05</v>
      </c>
      <c r="EB10" s="387">
        <f>IF('Inputs &amp; Assumptions'!$V$51="Yes",_xlfn.XLOOKUP('Pro Forma'!EB4,'Granular rates'!$D$4:$DS$4,'Granular rates'!$D$6:$DS$6,0,0,1),'Inputs &amp; Assumptions'!$V$55)</f>
        <v>0.05</v>
      </c>
      <c r="EC10" s="387">
        <f>IF('Inputs &amp; Assumptions'!$V$51="Yes",_xlfn.XLOOKUP('Pro Forma'!EC4,'Granular rates'!$D$4:$DS$4,'Granular rates'!$D$6:$DS$6,0,0,1),'Inputs &amp; Assumptions'!$V$55)</f>
        <v>0.05</v>
      </c>
      <c r="ED10" s="387">
        <f>IF('Inputs &amp; Assumptions'!$V$51="Yes",_xlfn.XLOOKUP('Pro Forma'!ED4,'Granular rates'!$D$4:$DS$4,'Granular rates'!$D$6:$DS$6,0,0,1),'Inputs &amp; Assumptions'!$V$55)</f>
        <v>0.05</v>
      </c>
      <c r="EE10" s="750">
        <f>AVERAGE(DS10:ED10)</f>
        <v>4.9999999999999996E-2</v>
      </c>
      <c r="EF10" s="387"/>
    </row>
    <row r="11" spans="2:168" s="447" customFormat="1">
      <c r="B11" s="751" t="str">
        <f>B15 &amp; " %"</f>
        <v>Bad Debt %</v>
      </c>
      <c r="C11" s="444"/>
      <c r="D11" s="444"/>
      <c r="E11" s="445"/>
      <c r="F11" s="445">
        <f>IF('Inputs &amp; Assumptions'!$V$51="Yes",_xlfn.XLOOKUP('Pro Forma'!F4,'Granular rates'!$D$4:$DS$4,'Granular rates'!$D$7:$DS$7,0,0,1),'Inputs &amp; Assumptions'!$V$60)</f>
        <v>5.0000000000000001E-4</v>
      </c>
      <c r="G11" s="445">
        <f>IF('Inputs &amp; Assumptions'!$V$51="Yes",_xlfn.XLOOKUP('Pro Forma'!G4,'Granular rates'!$D$4:$DS$4,'Granular rates'!$D$7:$DS$7,0,0,1),'Inputs &amp; Assumptions'!$V$60)</f>
        <v>5.0000000000000001E-4</v>
      </c>
      <c r="H11" s="445">
        <f>IF('Inputs &amp; Assumptions'!$V$51="Yes",_xlfn.XLOOKUP('Pro Forma'!H4,'Granular rates'!$D$4:$DS$4,'Granular rates'!$D$7:$DS$7,0,0,1),'Inputs &amp; Assumptions'!$V$60)</f>
        <v>5.0000000000000001E-4</v>
      </c>
      <c r="I11" s="445">
        <f>IF('Inputs &amp; Assumptions'!$V$51="Yes",_xlfn.XLOOKUP('Pro Forma'!I4,'Granular rates'!$D$4:$DS$4,'Granular rates'!$D$7:$DS$7,0,0,1),'Inputs &amp; Assumptions'!$V$60)</f>
        <v>5.0000000000000001E-4</v>
      </c>
      <c r="J11" s="445">
        <f>IF('Inputs &amp; Assumptions'!$V$51="Yes",_xlfn.XLOOKUP('Pro Forma'!J4,'Granular rates'!$D$4:$DS$4,'Granular rates'!$D$7:$DS$7,0,0,1),'Inputs &amp; Assumptions'!$V$60)</f>
        <v>5.0000000000000001E-4</v>
      </c>
      <c r="K11" s="445">
        <f>IF('Inputs &amp; Assumptions'!$V$51="Yes",_xlfn.XLOOKUP('Pro Forma'!K4,'Granular rates'!$D$4:$DS$4,'Granular rates'!$D$7:$DS$7,0,0,1),'Inputs &amp; Assumptions'!$V$60)</f>
        <v>5.0000000000000001E-4</v>
      </c>
      <c r="L11" s="445">
        <f>IF('Inputs &amp; Assumptions'!$V$51="Yes",_xlfn.XLOOKUP('Pro Forma'!L4,'Granular rates'!$D$4:$DS$4,'Granular rates'!$D$7:$DS$7,0,0,1),'Inputs &amp; Assumptions'!$V$60)</f>
        <v>5.0000000000000001E-4</v>
      </c>
      <c r="M11" s="445">
        <f>IF('Inputs &amp; Assumptions'!$V$51="Yes",_xlfn.XLOOKUP('Pro Forma'!M4,'Granular rates'!$D$4:$DS$4,'Granular rates'!$D$7:$DS$7,0,0,1),'Inputs &amp; Assumptions'!$V$60)</f>
        <v>5.0000000000000001E-4</v>
      </c>
      <c r="N11" s="445">
        <f>IF('Inputs &amp; Assumptions'!$V$51="Yes",_xlfn.XLOOKUP('Pro Forma'!N4,'Granular rates'!$D$4:$DS$4,'Granular rates'!$D$7:$DS$7,0,0,1),'Inputs &amp; Assumptions'!$V$60)</f>
        <v>5.0000000000000001E-4</v>
      </c>
      <c r="O11" s="445">
        <f>IF('Inputs &amp; Assumptions'!$V$51="Yes",_xlfn.XLOOKUP('Pro Forma'!O4,'Granular rates'!$D$4:$DS$4,'Granular rates'!$D$7:$DS$7,0,0,1),'Inputs &amp; Assumptions'!$V$60)</f>
        <v>5.0000000000000001E-4</v>
      </c>
      <c r="P11" s="445">
        <f>IF('Inputs &amp; Assumptions'!$V$51="Yes",_xlfn.XLOOKUP('Pro Forma'!P4,'Granular rates'!$D$4:$DS$4,'Granular rates'!$D$7:$DS$7,0,0,1),'Inputs &amp; Assumptions'!$V$60)</f>
        <v>5.0000000000000001E-4</v>
      </c>
      <c r="Q11" s="445">
        <f>IF('Inputs &amp; Assumptions'!$V$51="Yes",_xlfn.XLOOKUP('Pro Forma'!Q4,'Granular rates'!$D$4:$DS$4,'Granular rates'!$D$7:$DS$7,0,0,1),'Inputs &amp; Assumptions'!$V$60)</f>
        <v>5.0000000000000001E-4</v>
      </c>
      <c r="R11" s="445">
        <f>AVERAGE(F11:Q11)</f>
        <v>5.0000000000000012E-4</v>
      </c>
      <c r="S11" s="445">
        <f>IF('Inputs &amp; Assumptions'!$V$51="Yes",_xlfn.XLOOKUP('Pro Forma'!S4,'Granular rates'!$D$4:$DS$4,'Granular rates'!$D$7:$DS$7,0,0,1),'Inputs &amp; Assumptions'!$V$61)</f>
        <v>5.0000000000000001E-4</v>
      </c>
      <c r="T11" s="445">
        <f>IF('Inputs &amp; Assumptions'!$V$51="Yes",_xlfn.XLOOKUP('Pro Forma'!T4,'Granular rates'!$D$4:$DS$4,'Granular rates'!$D$7:$DS$7,0,0,1),'Inputs &amp; Assumptions'!$V$61)</f>
        <v>5.0000000000000001E-4</v>
      </c>
      <c r="U11" s="445">
        <f>IF('Inputs &amp; Assumptions'!$V$51="Yes",_xlfn.XLOOKUP('Pro Forma'!U4,'Granular rates'!$D$4:$DS$4,'Granular rates'!$D$7:$DS$7,0,0,1),'Inputs &amp; Assumptions'!$V$61)</f>
        <v>5.0000000000000001E-4</v>
      </c>
      <c r="V11" s="445">
        <f>IF('Inputs &amp; Assumptions'!$V$51="Yes",_xlfn.XLOOKUP('Pro Forma'!V4,'Granular rates'!$D$4:$DS$4,'Granular rates'!$D$7:$DS$7,0,0,1),'Inputs &amp; Assumptions'!$V$61)</f>
        <v>5.0000000000000001E-4</v>
      </c>
      <c r="W11" s="445">
        <f>IF('Inputs &amp; Assumptions'!$V$51="Yes",_xlfn.XLOOKUP('Pro Forma'!W4,'Granular rates'!$D$4:$DS$4,'Granular rates'!$D$7:$DS$7,0,0,1),'Inputs &amp; Assumptions'!$V$61)</f>
        <v>5.0000000000000001E-4</v>
      </c>
      <c r="X11" s="445">
        <f>IF('Inputs &amp; Assumptions'!$V$51="Yes",_xlfn.XLOOKUP('Pro Forma'!X4,'Granular rates'!$D$4:$DS$4,'Granular rates'!$D$7:$DS$7,0,0,1),'Inputs &amp; Assumptions'!$V$61)</f>
        <v>5.0000000000000001E-4</v>
      </c>
      <c r="Y11" s="445">
        <f>IF('Inputs &amp; Assumptions'!$V$51="Yes",_xlfn.XLOOKUP('Pro Forma'!Y4,'Granular rates'!$D$4:$DS$4,'Granular rates'!$D$7:$DS$7,0,0,1),'Inputs &amp; Assumptions'!$V$61)</f>
        <v>5.0000000000000001E-4</v>
      </c>
      <c r="Z11" s="445">
        <f>IF('Inputs &amp; Assumptions'!$V$51="Yes",_xlfn.XLOOKUP('Pro Forma'!Z4,'Granular rates'!$D$4:$DS$4,'Granular rates'!$D$7:$DS$7,0,0,1),'Inputs &amp; Assumptions'!$V$61)</f>
        <v>5.0000000000000001E-4</v>
      </c>
      <c r="AA11" s="445">
        <f>IF('Inputs &amp; Assumptions'!$V$51="Yes",_xlfn.XLOOKUP('Pro Forma'!AA4,'Granular rates'!$D$4:$DS$4,'Granular rates'!$D$7:$DS$7,0,0,1),'Inputs &amp; Assumptions'!$V$61)</f>
        <v>5.0000000000000001E-4</v>
      </c>
      <c r="AB11" s="445">
        <f>IF('Inputs &amp; Assumptions'!$V$51="Yes",_xlfn.XLOOKUP('Pro Forma'!AB4,'Granular rates'!$D$4:$DS$4,'Granular rates'!$D$7:$DS$7,0,0,1),'Inputs &amp; Assumptions'!$V$61)</f>
        <v>5.0000000000000001E-4</v>
      </c>
      <c r="AC11" s="445">
        <f>IF('Inputs &amp; Assumptions'!$V$51="Yes",_xlfn.XLOOKUP('Pro Forma'!AC4,'Granular rates'!$D$4:$DS$4,'Granular rates'!$D$7:$DS$7,0,0,1),'Inputs &amp; Assumptions'!$V$61)</f>
        <v>5.0000000000000001E-4</v>
      </c>
      <c r="AD11" s="445">
        <f>IF('Inputs &amp; Assumptions'!$V$51="Yes",_xlfn.XLOOKUP('Pro Forma'!AD4,'Granular rates'!$D$4:$DS$4,'Granular rates'!$D$7:$DS$7,0,0,1),'Inputs &amp; Assumptions'!$V$61)</f>
        <v>5.0000000000000001E-4</v>
      </c>
      <c r="AE11" s="445">
        <f>AVERAGE(S11:AD11)</f>
        <v>5.0000000000000012E-4</v>
      </c>
      <c r="AF11" s="445">
        <f>IF('Inputs &amp; Assumptions'!$V$51="Yes",_xlfn.XLOOKUP('Pro Forma'!AF4,'Granular rates'!$D$4:$DS$4,'Granular rates'!$D$7:$DS$7,0,0,1),'Inputs &amp; Assumptions'!$V$61)</f>
        <v>5.0000000000000001E-4</v>
      </c>
      <c r="AG11" s="445">
        <f>IF('Inputs &amp; Assumptions'!$V$51="Yes",_xlfn.XLOOKUP('Pro Forma'!AG4,'Granular rates'!$D$4:$DS$4,'Granular rates'!$D$7:$DS$7,0,0,1),'Inputs &amp; Assumptions'!$V$61)</f>
        <v>5.0000000000000001E-4</v>
      </c>
      <c r="AH11" s="445">
        <f>IF('Inputs &amp; Assumptions'!$V$51="Yes",_xlfn.XLOOKUP('Pro Forma'!AH4,'Granular rates'!$D$4:$DS$4,'Granular rates'!$D$7:$DS$7,0,0,1),'Inputs &amp; Assumptions'!$V$61)</f>
        <v>5.0000000000000001E-4</v>
      </c>
      <c r="AI11" s="445">
        <f>IF('Inputs &amp; Assumptions'!$V$51="Yes",_xlfn.XLOOKUP('Pro Forma'!AI4,'Granular rates'!$D$4:$DS$4,'Granular rates'!$D$7:$DS$7,0,0,1),'Inputs &amp; Assumptions'!$V$61)</f>
        <v>5.0000000000000001E-4</v>
      </c>
      <c r="AJ11" s="445">
        <f>IF('Inputs &amp; Assumptions'!$V$51="Yes",_xlfn.XLOOKUP('Pro Forma'!AJ4,'Granular rates'!$D$4:$DS$4,'Granular rates'!$D$7:$DS$7,0,0,1),'Inputs &amp; Assumptions'!$V$61)</f>
        <v>5.0000000000000001E-4</v>
      </c>
      <c r="AK11" s="445">
        <f>IF('Inputs &amp; Assumptions'!$V$51="Yes",_xlfn.XLOOKUP('Pro Forma'!AK4,'Granular rates'!$D$4:$DS$4,'Granular rates'!$D$7:$DS$7,0,0,1),'Inputs &amp; Assumptions'!$V$61)</f>
        <v>5.0000000000000001E-4</v>
      </c>
      <c r="AL11" s="445">
        <f>IF('Inputs &amp; Assumptions'!$V$51="Yes",_xlfn.XLOOKUP('Pro Forma'!AL4,'Granular rates'!$D$4:$DS$4,'Granular rates'!$D$7:$DS$7,0,0,1),'Inputs &amp; Assumptions'!$V$61)</f>
        <v>5.0000000000000001E-4</v>
      </c>
      <c r="AM11" s="445">
        <f>IF('Inputs &amp; Assumptions'!$V$51="Yes",_xlfn.XLOOKUP('Pro Forma'!AM4,'Granular rates'!$D$4:$DS$4,'Granular rates'!$D$7:$DS$7,0,0,1),'Inputs &amp; Assumptions'!$V$61)</f>
        <v>5.0000000000000001E-4</v>
      </c>
      <c r="AN11" s="445">
        <f>IF('Inputs &amp; Assumptions'!$V$51="Yes",_xlfn.XLOOKUP('Pro Forma'!AN4,'Granular rates'!$D$4:$DS$4,'Granular rates'!$D$7:$DS$7,0,0,1),'Inputs &amp; Assumptions'!$V$61)</f>
        <v>5.0000000000000001E-4</v>
      </c>
      <c r="AO11" s="445">
        <f>IF('Inputs &amp; Assumptions'!$V$51="Yes",_xlfn.XLOOKUP('Pro Forma'!AO4,'Granular rates'!$D$4:$DS$4,'Granular rates'!$D$7:$DS$7,0,0,1),'Inputs &amp; Assumptions'!$V$61)</f>
        <v>5.0000000000000001E-4</v>
      </c>
      <c r="AP11" s="445">
        <f>IF('Inputs &amp; Assumptions'!$V$51="Yes",_xlfn.XLOOKUP('Pro Forma'!AP4,'Granular rates'!$D$4:$DS$4,'Granular rates'!$D$7:$DS$7,0,0,1),'Inputs &amp; Assumptions'!$V$61)</f>
        <v>5.0000000000000001E-4</v>
      </c>
      <c r="AQ11" s="445">
        <f>IF('Inputs &amp; Assumptions'!$V$51="Yes",_xlfn.XLOOKUP('Pro Forma'!AQ4,'Granular rates'!$D$4:$DS$4,'Granular rates'!$D$7:$DS$7,0,0,1),'Inputs &amp; Assumptions'!$V$61)</f>
        <v>5.0000000000000001E-4</v>
      </c>
      <c r="AR11" s="445">
        <f>AVERAGE(AF11:AQ11)</f>
        <v>5.0000000000000012E-4</v>
      </c>
      <c r="AS11" s="445">
        <f>IF('Inputs &amp; Assumptions'!$V$51="Yes",_xlfn.XLOOKUP('Pro Forma'!AS4,'Granular rates'!$D$4:$DS$4,'Granular rates'!$D$7:$DS$7,0,0,1),'Inputs &amp; Assumptions'!$V$59)</f>
        <v>5.0000000000000001E-4</v>
      </c>
      <c r="AT11" s="445">
        <f>IF('Inputs &amp; Assumptions'!$V$51="Yes",_xlfn.XLOOKUP('Pro Forma'!AT4,'Granular rates'!$D$4:$DS$4,'Granular rates'!$D$7:$DS$7,0,0,1),'Inputs &amp; Assumptions'!$V$59)</f>
        <v>5.0000000000000001E-4</v>
      </c>
      <c r="AU11" s="445">
        <f>IF('Inputs &amp; Assumptions'!$V$51="Yes",_xlfn.XLOOKUP('Pro Forma'!AU4,'Granular rates'!$D$4:$DS$4,'Granular rates'!$D$7:$DS$7,0,0,1),'Inputs &amp; Assumptions'!$V$59)</f>
        <v>5.0000000000000001E-4</v>
      </c>
      <c r="AV11" s="445">
        <f>IF('Inputs &amp; Assumptions'!$V$51="Yes",_xlfn.XLOOKUP('Pro Forma'!AV4,'Granular rates'!$D$4:$DS$4,'Granular rates'!$D$7:$DS$7,0,0,1),'Inputs &amp; Assumptions'!$V$59)</f>
        <v>5.0000000000000001E-4</v>
      </c>
      <c r="AW11" s="445">
        <f>IF('Inputs &amp; Assumptions'!$V$51="Yes",_xlfn.XLOOKUP('Pro Forma'!AW4,'Granular rates'!$D$4:$DS$4,'Granular rates'!$D$7:$DS$7,0,0,1),'Inputs &amp; Assumptions'!$V$59)</f>
        <v>5.0000000000000001E-4</v>
      </c>
      <c r="AX11" s="445">
        <f>IF('Inputs &amp; Assumptions'!$V$51="Yes",_xlfn.XLOOKUP('Pro Forma'!AX4,'Granular rates'!$D$4:$DS$4,'Granular rates'!$D$7:$DS$7,0,0,1),'Inputs &amp; Assumptions'!$V$59)</f>
        <v>5.0000000000000001E-4</v>
      </c>
      <c r="AY11" s="445">
        <f>IF('Inputs &amp; Assumptions'!$V$51="Yes",_xlfn.XLOOKUP('Pro Forma'!AY4,'Granular rates'!$D$4:$DS$4,'Granular rates'!$D$7:$DS$7,0,0,1),'Inputs &amp; Assumptions'!$V$59)</f>
        <v>5.0000000000000001E-4</v>
      </c>
      <c r="AZ11" s="445">
        <f>IF('Inputs &amp; Assumptions'!$V$51="Yes",_xlfn.XLOOKUP('Pro Forma'!AZ4,'Granular rates'!$D$4:$DS$4,'Granular rates'!$D$7:$DS$7,0,0,1),'Inputs &amp; Assumptions'!$V$59)</f>
        <v>5.0000000000000001E-4</v>
      </c>
      <c r="BA11" s="445">
        <f>IF('Inputs &amp; Assumptions'!$V$51="Yes",_xlfn.XLOOKUP('Pro Forma'!BA4,'Granular rates'!$D$4:$DS$4,'Granular rates'!$D$7:$DS$7,0,0,1),'Inputs &amp; Assumptions'!$V$59)</f>
        <v>5.0000000000000001E-4</v>
      </c>
      <c r="BB11" s="445">
        <f>IF('Inputs &amp; Assumptions'!$V$51="Yes",_xlfn.XLOOKUP('Pro Forma'!BB4,'Granular rates'!$D$4:$DS$4,'Granular rates'!$D$7:$DS$7,0,0,1),'Inputs &amp; Assumptions'!$V$59)</f>
        <v>5.0000000000000001E-4</v>
      </c>
      <c r="BC11" s="445">
        <f>IF('Inputs &amp; Assumptions'!$V$51="Yes",_xlfn.XLOOKUP('Pro Forma'!BC4,'Granular rates'!$D$4:$DS$4,'Granular rates'!$D$7:$DS$7,0,0,1),'Inputs &amp; Assumptions'!$V$59)</f>
        <v>5.0000000000000001E-4</v>
      </c>
      <c r="BD11" s="445">
        <f>IF('Inputs &amp; Assumptions'!$V$51="Yes",_xlfn.XLOOKUP('Pro Forma'!BD4,'Granular rates'!$D$4:$DS$4,'Granular rates'!$D$7:$DS$7,0,0,1),'Inputs &amp; Assumptions'!$V$59)</f>
        <v>5.0000000000000001E-4</v>
      </c>
      <c r="BE11" s="445">
        <f>AVERAGE(AS11:BD11)</f>
        <v>5.0000000000000012E-4</v>
      </c>
      <c r="BF11" s="445">
        <f>IF('Inputs &amp; Assumptions'!$V$51="Yes",_xlfn.XLOOKUP('Pro Forma'!BF4,'Granular rates'!$D$4:$DS$4,'Granular rates'!$D$7:$DS$7,0,0,1),'Inputs &amp; Assumptions'!$V$59)</f>
        <v>5.0000000000000001E-4</v>
      </c>
      <c r="BG11" s="445">
        <f>IF('Inputs &amp; Assumptions'!$V$51="Yes",_xlfn.XLOOKUP('Pro Forma'!BG4,'Granular rates'!$D$4:$DS$4,'Granular rates'!$D$7:$DS$7,0,0,1),'Inputs &amp; Assumptions'!$V$59)</f>
        <v>5.0000000000000001E-4</v>
      </c>
      <c r="BH11" s="445">
        <f>IF('Inputs &amp; Assumptions'!$V$51="Yes",_xlfn.XLOOKUP('Pro Forma'!BH4,'Granular rates'!$D$4:$DS$4,'Granular rates'!$D$7:$DS$7,0,0,1),'Inputs &amp; Assumptions'!$V$59)</f>
        <v>5.0000000000000001E-4</v>
      </c>
      <c r="BI11" s="445">
        <f>IF('Inputs &amp; Assumptions'!$V$51="Yes",_xlfn.XLOOKUP('Pro Forma'!BI4,'Granular rates'!$D$4:$DS$4,'Granular rates'!$D$7:$DS$7,0,0,1),'Inputs &amp; Assumptions'!$V$59)</f>
        <v>5.0000000000000001E-4</v>
      </c>
      <c r="BJ11" s="445">
        <f>IF('Inputs &amp; Assumptions'!$V$51="Yes",_xlfn.XLOOKUP('Pro Forma'!BJ4,'Granular rates'!$D$4:$DS$4,'Granular rates'!$D$7:$DS$7,0,0,1),'Inputs &amp; Assumptions'!$V$59)</f>
        <v>5.0000000000000001E-4</v>
      </c>
      <c r="BK11" s="445">
        <f>IF('Inputs &amp; Assumptions'!$V$51="Yes",_xlfn.XLOOKUP('Pro Forma'!BK4,'Granular rates'!$D$4:$DS$4,'Granular rates'!$D$7:$DS$7,0,0,1),'Inputs &amp; Assumptions'!$V$59)</f>
        <v>5.0000000000000001E-4</v>
      </c>
      <c r="BL11" s="445">
        <f>IF('Inputs &amp; Assumptions'!$V$51="Yes",_xlfn.XLOOKUP('Pro Forma'!BL4,'Granular rates'!$D$4:$DS$4,'Granular rates'!$D$7:$DS$7,0,0,1),'Inputs &amp; Assumptions'!$V$59)</f>
        <v>5.0000000000000001E-4</v>
      </c>
      <c r="BM11" s="445">
        <f>IF('Inputs &amp; Assumptions'!$V$51="Yes",_xlfn.XLOOKUP('Pro Forma'!BM4,'Granular rates'!$D$4:$DS$4,'Granular rates'!$D$7:$DS$7,0,0,1),'Inputs &amp; Assumptions'!$V$59)</f>
        <v>5.0000000000000001E-4</v>
      </c>
      <c r="BN11" s="445">
        <f>IF('Inputs &amp; Assumptions'!$V$51="Yes",_xlfn.XLOOKUP('Pro Forma'!BN4,'Granular rates'!$D$4:$DS$4,'Granular rates'!$D$7:$DS$7,0,0,1),'Inputs &amp; Assumptions'!$V$59)</f>
        <v>5.0000000000000001E-4</v>
      </c>
      <c r="BO11" s="445">
        <f>IF('Inputs &amp; Assumptions'!$V$51="Yes",_xlfn.XLOOKUP('Pro Forma'!BO4,'Granular rates'!$D$4:$DS$4,'Granular rates'!$D$7:$DS$7,0,0,1),'Inputs &amp; Assumptions'!$V$59)</f>
        <v>5.0000000000000001E-4</v>
      </c>
      <c r="BP11" s="445">
        <f>IF('Inputs &amp; Assumptions'!$V$51="Yes",_xlfn.XLOOKUP('Pro Forma'!BP4,'Granular rates'!$D$4:$DS$4,'Granular rates'!$D$7:$DS$7,0,0,1),'Inputs &amp; Assumptions'!$V$59)</f>
        <v>5.0000000000000001E-4</v>
      </c>
      <c r="BQ11" s="445">
        <f>IF('Inputs &amp; Assumptions'!$V$51="Yes",_xlfn.XLOOKUP('Pro Forma'!BQ4,'Granular rates'!$D$4:$DS$4,'Granular rates'!$D$7:$DS$7,0,0,1),'Inputs &amp; Assumptions'!$V$59)</f>
        <v>5.0000000000000001E-4</v>
      </c>
      <c r="BR11" s="445">
        <f>AVERAGE(BF11:BQ11)</f>
        <v>5.0000000000000012E-4</v>
      </c>
      <c r="BS11" s="445">
        <f>IF('Inputs &amp; Assumptions'!$V$51="Yes",_xlfn.XLOOKUP('Pro Forma'!BS4,'Granular rates'!$D$4:$DS$4,'Granular rates'!$D$7:$DS$7,0,0,1),'Inputs &amp; Assumptions'!$V$59)</f>
        <v>5.0000000000000001E-4</v>
      </c>
      <c r="BT11" s="445">
        <f>IF('Inputs &amp; Assumptions'!$V$51="Yes",_xlfn.XLOOKUP('Pro Forma'!BT4,'Granular rates'!$D$4:$DS$4,'Granular rates'!$D$7:$DS$7,0,0,1),'Inputs &amp; Assumptions'!$V$59)</f>
        <v>5.0000000000000001E-4</v>
      </c>
      <c r="BU11" s="445">
        <f>IF('Inputs &amp; Assumptions'!$V$51="Yes",_xlfn.XLOOKUP('Pro Forma'!BU4,'Granular rates'!$D$4:$DS$4,'Granular rates'!$D$7:$DS$7,0,0,1),'Inputs &amp; Assumptions'!$V$59)</f>
        <v>5.0000000000000001E-4</v>
      </c>
      <c r="BV11" s="445">
        <f>IF('Inputs &amp; Assumptions'!$V$51="Yes",_xlfn.XLOOKUP('Pro Forma'!BV4,'Granular rates'!$D$4:$DS$4,'Granular rates'!$D$7:$DS$7,0,0,1),'Inputs &amp; Assumptions'!$V$59)</f>
        <v>5.0000000000000001E-4</v>
      </c>
      <c r="BW11" s="445">
        <f>IF('Inputs &amp; Assumptions'!$V$51="Yes",_xlfn.XLOOKUP('Pro Forma'!BW4,'Granular rates'!$D$4:$DS$4,'Granular rates'!$D$7:$DS$7,0,0,1),'Inputs &amp; Assumptions'!$V$59)</f>
        <v>5.0000000000000001E-4</v>
      </c>
      <c r="BX11" s="445">
        <f>IF('Inputs &amp; Assumptions'!$V$51="Yes",_xlfn.XLOOKUP('Pro Forma'!BX4,'Granular rates'!$D$4:$DS$4,'Granular rates'!$D$7:$DS$7,0,0,1),'Inputs &amp; Assumptions'!$V$59)</f>
        <v>5.0000000000000001E-4</v>
      </c>
      <c r="BY11" s="445">
        <f>IF('Inputs &amp; Assumptions'!$V$51="Yes",_xlfn.XLOOKUP('Pro Forma'!BY4,'Granular rates'!$D$4:$DS$4,'Granular rates'!$D$7:$DS$7,0,0,1),'Inputs &amp; Assumptions'!$V$59)</f>
        <v>5.0000000000000001E-4</v>
      </c>
      <c r="BZ11" s="445">
        <f>IF('Inputs &amp; Assumptions'!$V$51="Yes",_xlfn.XLOOKUP('Pro Forma'!BZ4,'Granular rates'!$D$4:$DS$4,'Granular rates'!$D$7:$DS$7,0,0,1),'Inputs &amp; Assumptions'!$V$59)</f>
        <v>5.0000000000000001E-4</v>
      </c>
      <c r="CA11" s="445">
        <f>IF('Inputs &amp; Assumptions'!$V$51="Yes",_xlfn.XLOOKUP('Pro Forma'!CA4,'Granular rates'!$D$4:$DS$4,'Granular rates'!$D$7:$DS$7,0,0,1),'Inputs &amp; Assumptions'!$V$59)</f>
        <v>5.0000000000000001E-4</v>
      </c>
      <c r="CB11" s="445">
        <f>IF('Inputs &amp; Assumptions'!$V$51="Yes",_xlfn.XLOOKUP('Pro Forma'!CB4,'Granular rates'!$D$4:$DS$4,'Granular rates'!$D$7:$DS$7,0,0,1),'Inputs &amp; Assumptions'!$V$59)</f>
        <v>5.0000000000000001E-4</v>
      </c>
      <c r="CC11" s="445">
        <f>IF('Inputs &amp; Assumptions'!$V$51="Yes",_xlfn.XLOOKUP('Pro Forma'!CC4,'Granular rates'!$D$4:$DS$4,'Granular rates'!$D$7:$DS$7,0,0,1),'Inputs &amp; Assumptions'!$V$59)</f>
        <v>5.0000000000000001E-4</v>
      </c>
      <c r="CD11" s="445">
        <f>IF('Inputs &amp; Assumptions'!$V$51="Yes",_xlfn.XLOOKUP('Pro Forma'!CD4,'Granular rates'!$D$4:$DS$4,'Granular rates'!$D$7:$DS$7,0,0,1),'Inputs &amp; Assumptions'!$V$59)</f>
        <v>5.0000000000000001E-4</v>
      </c>
      <c r="CE11" s="445">
        <f>AVERAGE(BS11:CD11)</f>
        <v>5.0000000000000012E-4</v>
      </c>
      <c r="CF11" s="445">
        <f>IF('Inputs &amp; Assumptions'!$V$51="Yes",_xlfn.XLOOKUP('Pro Forma'!CF4,'Granular rates'!$D$4:$DS$4,'Granular rates'!$D$7:$DS$7,0,0,1),'Inputs &amp; Assumptions'!$V$59)</f>
        <v>5.0000000000000001E-4</v>
      </c>
      <c r="CG11" s="445">
        <f>IF('Inputs &amp; Assumptions'!$V$51="Yes",_xlfn.XLOOKUP('Pro Forma'!CG4,'Granular rates'!$D$4:$DS$4,'Granular rates'!$D$7:$DS$7,0,0,1),'Inputs &amp; Assumptions'!$V$59)</f>
        <v>5.0000000000000001E-4</v>
      </c>
      <c r="CH11" s="445">
        <f>IF('Inputs &amp; Assumptions'!$V$51="Yes",_xlfn.XLOOKUP('Pro Forma'!CH4,'Granular rates'!$D$4:$DS$4,'Granular rates'!$D$7:$DS$7,0,0,1),'Inputs &amp; Assumptions'!$V$59)</f>
        <v>5.0000000000000001E-4</v>
      </c>
      <c r="CI11" s="445">
        <f>IF('Inputs &amp; Assumptions'!$V$51="Yes",_xlfn.XLOOKUP('Pro Forma'!CI4,'Granular rates'!$D$4:$DS$4,'Granular rates'!$D$7:$DS$7,0,0,1),'Inputs &amp; Assumptions'!$V$59)</f>
        <v>5.0000000000000001E-4</v>
      </c>
      <c r="CJ11" s="445">
        <f>IF('Inputs &amp; Assumptions'!$V$51="Yes",_xlfn.XLOOKUP('Pro Forma'!CJ4,'Granular rates'!$D$4:$DS$4,'Granular rates'!$D$7:$DS$7,0,0,1),'Inputs &amp; Assumptions'!$V$59)</f>
        <v>5.0000000000000001E-4</v>
      </c>
      <c r="CK11" s="445">
        <f>IF('Inputs &amp; Assumptions'!$V$51="Yes",_xlfn.XLOOKUP('Pro Forma'!CK4,'Granular rates'!$D$4:$DS$4,'Granular rates'!$D$7:$DS$7,0,0,1),'Inputs &amp; Assumptions'!$V$59)</f>
        <v>5.0000000000000001E-4</v>
      </c>
      <c r="CL11" s="445">
        <f>IF('Inputs &amp; Assumptions'!$V$51="Yes",_xlfn.XLOOKUP('Pro Forma'!CL4,'Granular rates'!$D$4:$DS$4,'Granular rates'!$D$7:$DS$7,0,0,1),'Inputs &amp; Assumptions'!$V$59)</f>
        <v>5.0000000000000001E-4</v>
      </c>
      <c r="CM11" s="445">
        <f>IF('Inputs &amp; Assumptions'!$V$51="Yes",_xlfn.XLOOKUP('Pro Forma'!CM4,'Granular rates'!$D$4:$DS$4,'Granular rates'!$D$7:$DS$7,0,0,1),'Inputs &amp; Assumptions'!$V$59)</f>
        <v>5.0000000000000001E-4</v>
      </c>
      <c r="CN11" s="445">
        <f>IF('Inputs &amp; Assumptions'!$V$51="Yes",_xlfn.XLOOKUP('Pro Forma'!CN4,'Granular rates'!$D$4:$DS$4,'Granular rates'!$D$7:$DS$7,0,0,1),'Inputs &amp; Assumptions'!$V$59)</f>
        <v>5.0000000000000001E-4</v>
      </c>
      <c r="CO11" s="445">
        <f>IF('Inputs &amp; Assumptions'!$V$51="Yes",_xlfn.XLOOKUP('Pro Forma'!CO4,'Granular rates'!$D$4:$DS$4,'Granular rates'!$D$7:$DS$7,0,0,1),'Inputs &amp; Assumptions'!$V$59)</f>
        <v>5.0000000000000001E-4</v>
      </c>
      <c r="CP11" s="445">
        <f>IF('Inputs &amp; Assumptions'!$V$51="Yes",_xlfn.XLOOKUP('Pro Forma'!CP4,'Granular rates'!$D$4:$DS$4,'Granular rates'!$D$7:$DS$7,0,0,1),'Inputs &amp; Assumptions'!$V$59)</f>
        <v>5.0000000000000001E-4</v>
      </c>
      <c r="CQ11" s="445">
        <f>IF('Inputs &amp; Assumptions'!$V$51="Yes",_xlfn.XLOOKUP('Pro Forma'!CQ4,'Granular rates'!$D$4:$DS$4,'Granular rates'!$D$7:$DS$7,0,0,1),'Inputs &amp; Assumptions'!$V$59)</f>
        <v>5.0000000000000001E-4</v>
      </c>
      <c r="CR11" s="445">
        <f>AVERAGE(CF11:CQ11)</f>
        <v>5.0000000000000012E-4</v>
      </c>
      <c r="CS11" s="445">
        <f>IF('Inputs &amp; Assumptions'!$V$51="Yes",_xlfn.XLOOKUP('Pro Forma'!CS4,'Granular rates'!$D$4:$DS$4,'Granular rates'!$D$7:$DS$7,0,0,1),'Inputs &amp; Assumptions'!$V$59)</f>
        <v>5.0000000000000001E-4</v>
      </c>
      <c r="CT11" s="445">
        <f>IF('Inputs &amp; Assumptions'!$V$51="Yes",_xlfn.XLOOKUP('Pro Forma'!CT4,'Granular rates'!$D$4:$DS$4,'Granular rates'!$D$7:$DS$7,0,0,1),'Inputs &amp; Assumptions'!$V$59)</f>
        <v>5.0000000000000001E-4</v>
      </c>
      <c r="CU11" s="445">
        <f>IF('Inputs &amp; Assumptions'!$V$51="Yes",_xlfn.XLOOKUP('Pro Forma'!CU4,'Granular rates'!$D$4:$DS$4,'Granular rates'!$D$7:$DS$7,0,0,1),'Inputs &amp; Assumptions'!$V$59)</f>
        <v>5.0000000000000001E-4</v>
      </c>
      <c r="CV11" s="445">
        <f>IF('Inputs &amp; Assumptions'!$V$51="Yes",_xlfn.XLOOKUP('Pro Forma'!CV4,'Granular rates'!$D$4:$DS$4,'Granular rates'!$D$7:$DS$7,0,0,1),'Inputs &amp; Assumptions'!$V$59)</f>
        <v>5.0000000000000001E-4</v>
      </c>
      <c r="CW11" s="445">
        <f>IF('Inputs &amp; Assumptions'!$V$51="Yes",_xlfn.XLOOKUP('Pro Forma'!CW4,'Granular rates'!$D$4:$DS$4,'Granular rates'!$D$7:$DS$7,0,0,1),'Inputs &amp; Assumptions'!$V$59)</f>
        <v>5.0000000000000001E-4</v>
      </c>
      <c r="CX11" s="445">
        <f>IF('Inputs &amp; Assumptions'!$V$51="Yes",_xlfn.XLOOKUP('Pro Forma'!CX4,'Granular rates'!$D$4:$DS$4,'Granular rates'!$D$7:$DS$7,0,0,1),'Inputs &amp; Assumptions'!$V$59)</f>
        <v>5.0000000000000001E-4</v>
      </c>
      <c r="CY11" s="445">
        <f>IF('Inputs &amp; Assumptions'!$V$51="Yes",_xlfn.XLOOKUP('Pro Forma'!CY4,'Granular rates'!$D$4:$DS$4,'Granular rates'!$D$7:$DS$7,0,0,1),'Inputs &amp; Assumptions'!$V$59)</f>
        <v>5.0000000000000001E-4</v>
      </c>
      <c r="CZ11" s="445">
        <f>IF('Inputs &amp; Assumptions'!$V$51="Yes",_xlfn.XLOOKUP('Pro Forma'!CZ4,'Granular rates'!$D$4:$DS$4,'Granular rates'!$D$7:$DS$7,0,0,1),'Inputs &amp; Assumptions'!$V$59)</f>
        <v>5.0000000000000001E-4</v>
      </c>
      <c r="DA11" s="445">
        <f>IF('Inputs &amp; Assumptions'!$V$51="Yes",_xlfn.XLOOKUP('Pro Forma'!DA4,'Granular rates'!$D$4:$DS$4,'Granular rates'!$D$7:$DS$7,0,0,1),'Inputs &amp; Assumptions'!$V$59)</f>
        <v>5.0000000000000001E-4</v>
      </c>
      <c r="DB11" s="445">
        <f>IF('Inputs &amp; Assumptions'!$V$51="Yes",_xlfn.XLOOKUP('Pro Forma'!DB4,'Granular rates'!$D$4:$DS$4,'Granular rates'!$D$7:$DS$7,0,0,1),'Inputs &amp; Assumptions'!$V$59)</f>
        <v>5.0000000000000001E-4</v>
      </c>
      <c r="DC11" s="445">
        <f>IF('Inputs &amp; Assumptions'!$V$51="Yes",_xlfn.XLOOKUP('Pro Forma'!DC4,'Granular rates'!$D$4:$DS$4,'Granular rates'!$D$7:$DS$7,0,0,1),'Inputs &amp; Assumptions'!$V$59)</f>
        <v>5.0000000000000001E-4</v>
      </c>
      <c r="DD11" s="445">
        <f>IF('Inputs &amp; Assumptions'!$V$51="Yes",_xlfn.XLOOKUP('Pro Forma'!DD4,'Granular rates'!$D$4:$DS$4,'Granular rates'!$D$7:$DS$7,0,0,1),'Inputs &amp; Assumptions'!$V$59)</f>
        <v>5.0000000000000001E-4</v>
      </c>
      <c r="DE11" s="445">
        <f>AVERAGE(CS11:DD11)</f>
        <v>5.0000000000000012E-4</v>
      </c>
      <c r="DF11" s="445">
        <f>IF('Inputs &amp; Assumptions'!$V$51="Yes",_xlfn.XLOOKUP('Pro Forma'!DF4,'Granular rates'!$D$4:$DS$4,'Granular rates'!$D$7:$DS$7,0,0,1),'Inputs &amp; Assumptions'!$V$59)</f>
        <v>5.0000000000000001E-4</v>
      </c>
      <c r="DG11" s="445">
        <f>IF('Inputs &amp; Assumptions'!$V$51="Yes",_xlfn.XLOOKUP('Pro Forma'!DG4,'Granular rates'!$D$4:$DS$4,'Granular rates'!$D$7:$DS$7,0,0,1),'Inputs &amp; Assumptions'!$V$59)</f>
        <v>5.0000000000000001E-4</v>
      </c>
      <c r="DH11" s="445">
        <f>IF('Inputs &amp; Assumptions'!$V$51="Yes",_xlfn.XLOOKUP('Pro Forma'!DH4,'Granular rates'!$D$4:$DS$4,'Granular rates'!$D$7:$DS$7,0,0,1),'Inputs &amp; Assumptions'!$V$59)</f>
        <v>5.0000000000000001E-4</v>
      </c>
      <c r="DI11" s="445">
        <f>IF('Inputs &amp; Assumptions'!$V$51="Yes",_xlfn.XLOOKUP('Pro Forma'!DI4,'Granular rates'!$D$4:$DS$4,'Granular rates'!$D$7:$DS$7,0,0,1),'Inputs &amp; Assumptions'!$V$59)</f>
        <v>5.0000000000000001E-4</v>
      </c>
      <c r="DJ11" s="445">
        <f>IF('Inputs &amp; Assumptions'!$V$51="Yes",_xlfn.XLOOKUP('Pro Forma'!DJ4,'Granular rates'!$D$4:$DS$4,'Granular rates'!$D$7:$DS$7,0,0,1),'Inputs &amp; Assumptions'!$V$59)</f>
        <v>5.0000000000000001E-4</v>
      </c>
      <c r="DK11" s="445">
        <f>IF('Inputs &amp; Assumptions'!$V$51="Yes",_xlfn.XLOOKUP('Pro Forma'!DK4,'Granular rates'!$D$4:$DS$4,'Granular rates'!$D$7:$DS$7,0,0,1),'Inputs &amp; Assumptions'!$V$59)</f>
        <v>5.0000000000000001E-4</v>
      </c>
      <c r="DL11" s="445">
        <f>IF('Inputs &amp; Assumptions'!$V$51="Yes",_xlfn.XLOOKUP('Pro Forma'!DL4,'Granular rates'!$D$4:$DS$4,'Granular rates'!$D$7:$DS$7,0,0,1),'Inputs &amp; Assumptions'!$V$59)</f>
        <v>5.0000000000000001E-4</v>
      </c>
      <c r="DM11" s="445">
        <f>IF('Inputs &amp; Assumptions'!$V$51="Yes",_xlfn.XLOOKUP('Pro Forma'!DM4,'Granular rates'!$D$4:$DS$4,'Granular rates'!$D$7:$DS$7,0,0,1),'Inputs &amp; Assumptions'!$V$59)</f>
        <v>5.0000000000000001E-4</v>
      </c>
      <c r="DN11" s="445">
        <f>IF('Inputs &amp; Assumptions'!$V$51="Yes",_xlfn.XLOOKUP('Pro Forma'!DN4,'Granular rates'!$D$4:$DS$4,'Granular rates'!$D$7:$DS$7,0,0,1),'Inputs &amp; Assumptions'!$V$59)</f>
        <v>5.0000000000000001E-4</v>
      </c>
      <c r="DO11" s="445">
        <f>IF('Inputs &amp; Assumptions'!$V$51="Yes",_xlfn.XLOOKUP('Pro Forma'!DO4,'Granular rates'!$D$4:$DS$4,'Granular rates'!$D$7:$DS$7,0,0,1),'Inputs &amp; Assumptions'!$V$59)</f>
        <v>5.0000000000000001E-4</v>
      </c>
      <c r="DP11" s="445">
        <f>IF('Inputs &amp; Assumptions'!$V$51="Yes",_xlfn.XLOOKUP('Pro Forma'!DP4,'Granular rates'!$D$4:$DS$4,'Granular rates'!$D$7:$DS$7,0,0,1),'Inputs &amp; Assumptions'!$V$59)</f>
        <v>5.0000000000000001E-4</v>
      </c>
      <c r="DQ11" s="445">
        <f>IF('Inputs &amp; Assumptions'!$V$51="Yes",_xlfn.XLOOKUP('Pro Forma'!DQ4,'Granular rates'!$D$4:$DS$4,'Granular rates'!$D$7:$DS$7,0,0,1),'Inputs &amp; Assumptions'!$V$59)</f>
        <v>5.0000000000000001E-4</v>
      </c>
      <c r="DR11" s="445">
        <f>AVERAGE(DF11:DQ11)</f>
        <v>5.0000000000000012E-4</v>
      </c>
      <c r="DS11" s="445">
        <f>IF('Inputs &amp; Assumptions'!$V$51="Yes",_xlfn.XLOOKUP('Pro Forma'!DS4,'Granular rates'!$D$4:$DS$4,'Granular rates'!$D$7:$DS$7,0,0,1),'Inputs &amp; Assumptions'!$V$59)</f>
        <v>5.0000000000000001E-4</v>
      </c>
      <c r="DT11" s="445">
        <f>IF('Inputs &amp; Assumptions'!$V$51="Yes",_xlfn.XLOOKUP('Pro Forma'!DT4,'Granular rates'!$D$4:$DS$4,'Granular rates'!$D$7:$DS$7,0,0,1),'Inputs &amp; Assumptions'!$V$59)</f>
        <v>5.0000000000000001E-4</v>
      </c>
      <c r="DU11" s="445">
        <f>IF('Inputs &amp; Assumptions'!$V$51="Yes",_xlfn.XLOOKUP('Pro Forma'!DU4,'Granular rates'!$D$4:$DS$4,'Granular rates'!$D$7:$DS$7,0,0,1),'Inputs &amp; Assumptions'!$V$59)</f>
        <v>5.0000000000000001E-4</v>
      </c>
      <c r="DV11" s="445">
        <f>IF('Inputs &amp; Assumptions'!$V$51="Yes",_xlfn.XLOOKUP('Pro Forma'!DV4,'Granular rates'!$D$4:$DS$4,'Granular rates'!$D$7:$DS$7,0,0,1),'Inputs &amp; Assumptions'!$V$59)</f>
        <v>5.0000000000000001E-4</v>
      </c>
      <c r="DW11" s="445">
        <f>IF('Inputs &amp; Assumptions'!$V$51="Yes",_xlfn.XLOOKUP('Pro Forma'!DW4,'Granular rates'!$D$4:$DS$4,'Granular rates'!$D$7:$DS$7,0,0,1),'Inputs &amp; Assumptions'!$V$59)</f>
        <v>5.0000000000000001E-4</v>
      </c>
      <c r="DX11" s="445">
        <f>IF('Inputs &amp; Assumptions'!$V$51="Yes",_xlfn.XLOOKUP('Pro Forma'!DX4,'Granular rates'!$D$4:$DS$4,'Granular rates'!$D$7:$DS$7,0,0,1),'Inputs &amp; Assumptions'!$V$59)</f>
        <v>5.0000000000000001E-4</v>
      </c>
      <c r="DY11" s="445">
        <f>IF('Inputs &amp; Assumptions'!$V$51="Yes",_xlfn.XLOOKUP('Pro Forma'!DY4,'Granular rates'!$D$4:$DS$4,'Granular rates'!$D$7:$DS$7,0,0,1),'Inputs &amp; Assumptions'!$V$59)</f>
        <v>5.0000000000000001E-4</v>
      </c>
      <c r="DZ11" s="445">
        <f>IF('Inputs &amp; Assumptions'!$V$51="Yes",_xlfn.XLOOKUP('Pro Forma'!DZ4,'Granular rates'!$D$4:$DS$4,'Granular rates'!$D$7:$DS$7,0,0,1),'Inputs &amp; Assumptions'!$V$59)</f>
        <v>5.0000000000000001E-4</v>
      </c>
      <c r="EA11" s="445">
        <f>IF('Inputs &amp; Assumptions'!$V$51="Yes",_xlfn.XLOOKUP('Pro Forma'!EA4,'Granular rates'!$D$4:$DS$4,'Granular rates'!$D$7:$DS$7,0,0,1),'Inputs &amp; Assumptions'!$V$59)</f>
        <v>5.0000000000000001E-4</v>
      </c>
      <c r="EB11" s="445">
        <f>IF('Inputs &amp; Assumptions'!$V$51="Yes",_xlfn.XLOOKUP('Pro Forma'!EB4,'Granular rates'!$D$4:$DS$4,'Granular rates'!$D$7:$DS$7,0,0,1),'Inputs &amp; Assumptions'!$V$59)</f>
        <v>5.0000000000000001E-4</v>
      </c>
      <c r="EC11" s="445">
        <f>IF('Inputs &amp; Assumptions'!$V$51="Yes",_xlfn.XLOOKUP('Pro Forma'!EC4,'Granular rates'!$D$4:$DS$4,'Granular rates'!$D$7:$DS$7,0,0,1),'Inputs &amp; Assumptions'!$V$59)</f>
        <v>5.0000000000000001E-4</v>
      </c>
      <c r="ED11" s="445">
        <f>IF('Inputs &amp; Assumptions'!$V$51="Yes",_xlfn.XLOOKUP('Pro Forma'!ED4,'Granular rates'!$D$4:$DS$4,'Granular rates'!$D$7:$DS$7,0,0,1),'Inputs &amp; Assumptions'!$V$59)</f>
        <v>5.0000000000000001E-4</v>
      </c>
      <c r="EE11" s="752">
        <f>AVERAGE(DS11:ED11)</f>
        <v>5.0000000000000012E-4</v>
      </c>
      <c r="EF11" s="446"/>
    </row>
    <row r="12" spans="2:168">
      <c r="B12" s="161" t="str">
        <f>'Inputs &amp; Assumptions'!$B$20</f>
        <v>Loss to Lease</v>
      </c>
      <c r="E12" s="12" t="e">
        <f>'Inputs &amp; Assumptions'!#REF!</f>
        <v>#REF!</v>
      </c>
      <c r="F12" s="12">
        <f>-SUM(F6:F8)*F9</f>
        <v>-81720.936599999986</v>
      </c>
      <c r="G12" s="12">
        <f t="shared" ref="G12:Q12" si="39">-SUM(G6:G8)*G9</f>
        <v>-81720.936599999986</v>
      </c>
      <c r="H12" s="12">
        <f t="shared" si="39"/>
        <v>-81720.936599999986</v>
      </c>
      <c r="I12" s="12">
        <f t="shared" si="39"/>
        <v>-81720.936599999986</v>
      </c>
      <c r="J12" s="12">
        <f t="shared" si="39"/>
        <v>-81720.936599999986</v>
      </c>
      <c r="K12" s="12">
        <f t="shared" si="39"/>
        <v>-81720.936599999986</v>
      </c>
      <c r="L12" s="12">
        <f t="shared" si="39"/>
        <v>-81720.936599999986</v>
      </c>
      <c r="M12" s="12">
        <f t="shared" si="39"/>
        <v>-81720.936599999986</v>
      </c>
      <c r="N12" s="12">
        <f t="shared" si="39"/>
        <v>-81720.936599999986</v>
      </c>
      <c r="O12" s="12">
        <f t="shared" si="39"/>
        <v>-81720.936599999986</v>
      </c>
      <c r="P12" s="12">
        <f t="shared" si="39"/>
        <v>-81720.936599999986</v>
      </c>
      <c r="Q12" s="12">
        <f t="shared" si="39"/>
        <v>-81720.936599999986</v>
      </c>
      <c r="R12" s="12">
        <f>SUM(F12:Q12)</f>
        <v>-980651.23920000007</v>
      </c>
      <c r="S12" s="12">
        <f>-SUM(S6:S8)*S9</f>
        <v>-56115.043131999999</v>
      </c>
      <c r="T12" s="12">
        <f t="shared" ref="T12:AD12" si="40">-SUM(T6:T8)*T9</f>
        <v>-56115.043131999999</v>
      </c>
      <c r="U12" s="12">
        <f t="shared" si="40"/>
        <v>-56115.043131999999</v>
      </c>
      <c r="V12" s="12">
        <f t="shared" si="40"/>
        <v>-56115.043131999999</v>
      </c>
      <c r="W12" s="12">
        <f t="shared" si="40"/>
        <v>-56115.043131999999</v>
      </c>
      <c r="X12" s="12">
        <f t="shared" si="40"/>
        <v>-56115.043131999999</v>
      </c>
      <c r="Y12" s="12">
        <f t="shared" si="40"/>
        <v>-56115.043131999999</v>
      </c>
      <c r="Z12" s="12">
        <f t="shared" si="40"/>
        <v>-56115.043131999999</v>
      </c>
      <c r="AA12" s="12">
        <f t="shared" si="40"/>
        <v>-56115.043131999999</v>
      </c>
      <c r="AB12" s="12">
        <f t="shared" si="40"/>
        <v>-56115.043131999999</v>
      </c>
      <c r="AC12" s="12">
        <f t="shared" si="40"/>
        <v>-56115.043131999999</v>
      </c>
      <c r="AD12" s="12">
        <f t="shared" si="40"/>
        <v>-56115.043131999999</v>
      </c>
      <c r="AE12" s="12">
        <f>SUM(S12:AD12)</f>
        <v>-673380.51758400013</v>
      </c>
      <c r="AF12" s="12">
        <f>-SUM(AF6:AF8)*AF9</f>
        <v>-4816.5412021633338</v>
      </c>
      <c r="AG12" s="12">
        <f t="shared" ref="AG12:AQ12" si="41">-SUM(AG6:AG8)*AG9</f>
        <v>-4816.5412021633338</v>
      </c>
      <c r="AH12" s="12">
        <f t="shared" si="41"/>
        <v>-4816.5412021633338</v>
      </c>
      <c r="AI12" s="12">
        <f t="shared" si="41"/>
        <v>-4816.5412021633338</v>
      </c>
      <c r="AJ12" s="12">
        <f t="shared" si="41"/>
        <v>-4816.5412021633338</v>
      </c>
      <c r="AK12" s="12">
        <f t="shared" si="41"/>
        <v>-4816.5412021633338</v>
      </c>
      <c r="AL12" s="12">
        <f t="shared" si="41"/>
        <v>-4816.5412021633338</v>
      </c>
      <c r="AM12" s="12">
        <f t="shared" si="41"/>
        <v>-4816.5412021633338</v>
      </c>
      <c r="AN12" s="12">
        <f t="shared" si="41"/>
        <v>-4816.5412021633338</v>
      </c>
      <c r="AO12" s="12">
        <f t="shared" si="41"/>
        <v>-4816.5412021633338</v>
      </c>
      <c r="AP12" s="12">
        <f t="shared" si="41"/>
        <v>-4816.5412021633338</v>
      </c>
      <c r="AQ12" s="12">
        <f t="shared" si="41"/>
        <v>-4816.5412021633338</v>
      </c>
      <c r="AR12" s="12">
        <f t="shared" ref="AR12:AR14" si="42">SUM(AF12:AQ12)</f>
        <v>-57798.494425959994</v>
      </c>
      <c r="AS12" s="12">
        <f t="shared" ref="AS12:BD12" si="43">-SUM(AS6:AS8)*AS9</f>
        <v>-4961.0374382282334</v>
      </c>
      <c r="AT12" s="12">
        <f t="shared" si="43"/>
        <v>-4961.0374382282334</v>
      </c>
      <c r="AU12" s="12">
        <f t="shared" si="43"/>
        <v>-4961.0374382282334</v>
      </c>
      <c r="AV12" s="12">
        <f t="shared" si="43"/>
        <v>-4961.0374382282334</v>
      </c>
      <c r="AW12" s="12">
        <f t="shared" si="43"/>
        <v>-4961.0374382282334</v>
      </c>
      <c r="AX12" s="12">
        <f t="shared" si="43"/>
        <v>-4961.0374382282334</v>
      </c>
      <c r="AY12" s="12">
        <f t="shared" si="43"/>
        <v>-4961.0374382282334</v>
      </c>
      <c r="AZ12" s="12">
        <f t="shared" si="43"/>
        <v>-4961.0374382282334</v>
      </c>
      <c r="BA12" s="12">
        <f t="shared" si="43"/>
        <v>-4961.0374382282334</v>
      </c>
      <c r="BB12" s="12">
        <f t="shared" si="43"/>
        <v>-4961.0374382282334</v>
      </c>
      <c r="BC12" s="12">
        <f t="shared" si="43"/>
        <v>-4961.0374382282334</v>
      </c>
      <c r="BD12" s="12">
        <f t="shared" si="43"/>
        <v>-4961.0374382282334</v>
      </c>
      <c r="BE12" s="12">
        <f t="shared" si="26"/>
        <v>-59532.449258738787</v>
      </c>
      <c r="BF12" s="12">
        <f t="shared" ref="BF12:BQ12" si="44">-SUM(BF6:BF8)*BF9</f>
        <v>-5109.8685613750804</v>
      </c>
      <c r="BG12" s="12">
        <f t="shared" si="44"/>
        <v>-5109.8685613750804</v>
      </c>
      <c r="BH12" s="12">
        <f t="shared" si="44"/>
        <v>-5109.8685613750804</v>
      </c>
      <c r="BI12" s="12">
        <f t="shared" si="44"/>
        <v>-5109.8685613750804</v>
      </c>
      <c r="BJ12" s="12">
        <f t="shared" si="44"/>
        <v>-5109.8685613750804</v>
      </c>
      <c r="BK12" s="12">
        <f t="shared" si="44"/>
        <v>-5109.8685613750804</v>
      </c>
      <c r="BL12" s="12">
        <f t="shared" si="44"/>
        <v>-5109.8685613750804</v>
      </c>
      <c r="BM12" s="12">
        <f t="shared" si="44"/>
        <v>-5109.8685613750804</v>
      </c>
      <c r="BN12" s="12">
        <f t="shared" si="44"/>
        <v>-5109.8685613750804</v>
      </c>
      <c r="BO12" s="12">
        <f t="shared" si="44"/>
        <v>-5109.8685613750804</v>
      </c>
      <c r="BP12" s="12">
        <f t="shared" si="44"/>
        <v>-5109.8685613750804</v>
      </c>
      <c r="BQ12" s="12">
        <f t="shared" si="44"/>
        <v>-5109.8685613750804</v>
      </c>
      <c r="BR12" s="12">
        <f t="shared" si="28"/>
        <v>-61318.42273650095</v>
      </c>
      <c r="BS12" s="12">
        <f t="shared" ref="BS12:CD12" si="45">-SUM(BS6:BS8)*BS9</f>
        <v>-5263.1646182163331</v>
      </c>
      <c r="BT12" s="12">
        <f t="shared" si="45"/>
        <v>-5263.1646182163331</v>
      </c>
      <c r="BU12" s="12">
        <f t="shared" si="45"/>
        <v>-5263.1646182163331</v>
      </c>
      <c r="BV12" s="12">
        <f t="shared" si="45"/>
        <v>-5263.1646182163331</v>
      </c>
      <c r="BW12" s="12">
        <f t="shared" si="45"/>
        <v>-5263.1646182163331</v>
      </c>
      <c r="BX12" s="12">
        <f t="shared" si="45"/>
        <v>-5263.1646182163331</v>
      </c>
      <c r="BY12" s="12">
        <f t="shared" si="45"/>
        <v>-5263.1646182163331</v>
      </c>
      <c r="BZ12" s="12">
        <f t="shared" si="45"/>
        <v>-5263.1646182163331</v>
      </c>
      <c r="CA12" s="12">
        <f t="shared" si="45"/>
        <v>-5263.1646182163331</v>
      </c>
      <c r="CB12" s="12">
        <f t="shared" si="45"/>
        <v>-5263.1646182163331</v>
      </c>
      <c r="CC12" s="12">
        <f t="shared" si="45"/>
        <v>-5263.1646182163331</v>
      </c>
      <c r="CD12" s="12">
        <f t="shared" si="45"/>
        <v>-5263.1646182163331</v>
      </c>
      <c r="CE12" s="12">
        <f t="shared" si="30"/>
        <v>-63157.975418595983</v>
      </c>
      <c r="CF12" s="12">
        <f t="shared" ref="CF12:CQ12" si="46">-SUM(CF6:CF8)*CF9</f>
        <v>-5421.0595567628234</v>
      </c>
      <c r="CG12" s="12">
        <f t="shared" si="46"/>
        <v>-5421.0595567628234</v>
      </c>
      <c r="CH12" s="12">
        <f t="shared" si="46"/>
        <v>-5421.0595567628234</v>
      </c>
      <c r="CI12" s="12">
        <f t="shared" si="46"/>
        <v>-5421.0595567628234</v>
      </c>
      <c r="CJ12" s="12">
        <f t="shared" si="46"/>
        <v>-5421.0595567628234</v>
      </c>
      <c r="CK12" s="12">
        <f t="shared" si="46"/>
        <v>-5421.0595567628234</v>
      </c>
      <c r="CL12" s="12">
        <f t="shared" si="46"/>
        <v>-5421.0595567628234</v>
      </c>
      <c r="CM12" s="12">
        <f t="shared" si="46"/>
        <v>-5421.0595567628234</v>
      </c>
      <c r="CN12" s="12">
        <f t="shared" si="46"/>
        <v>-5421.0595567628234</v>
      </c>
      <c r="CO12" s="12">
        <f t="shared" si="46"/>
        <v>-5421.0595567628234</v>
      </c>
      <c r="CP12" s="12">
        <f t="shared" si="46"/>
        <v>-5421.0595567628234</v>
      </c>
      <c r="CQ12" s="12">
        <f t="shared" si="46"/>
        <v>-5421.0595567628234</v>
      </c>
      <c r="CR12" s="12">
        <f t="shared" si="32"/>
        <v>-65052.714681153891</v>
      </c>
      <c r="CS12" s="12">
        <f t="shared" ref="CS12:DD12" si="47">-SUM(CS6:CS8)*CS9</f>
        <v>-5583.6913434657081</v>
      </c>
      <c r="CT12" s="12">
        <f t="shared" si="47"/>
        <v>-5583.6913434657081</v>
      </c>
      <c r="CU12" s="12">
        <f t="shared" si="47"/>
        <v>-5583.6913434657081</v>
      </c>
      <c r="CV12" s="12">
        <f t="shared" si="47"/>
        <v>-5583.6913434657081</v>
      </c>
      <c r="CW12" s="12">
        <f t="shared" si="47"/>
        <v>-5583.6913434657081</v>
      </c>
      <c r="CX12" s="12">
        <f t="shared" si="47"/>
        <v>-5583.6913434657081</v>
      </c>
      <c r="CY12" s="12">
        <f t="shared" si="47"/>
        <v>-5583.6913434657081</v>
      </c>
      <c r="CZ12" s="12">
        <f t="shared" si="47"/>
        <v>-5583.6913434657081</v>
      </c>
      <c r="DA12" s="12">
        <f t="shared" si="47"/>
        <v>-5583.6913434657081</v>
      </c>
      <c r="DB12" s="12">
        <f t="shared" si="47"/>
        <v>-5583.6913434657081</v>
      </c>
      <c r="DC12" s="12">
        <f t="shared" si="47"/>
        <v>-5583.6913434657081</v>
      </c>
      <c r="DD12" s="12">
        <f t="shared" si="47"/>
        <v>-5583.6913434657081</v>
      </c>
      <c r="DE12" s="12">
        <f t="shared" si="34"/>
        <v>-67004.296121588515</v>
      </c>
      <c r="DF12" s="12">
        <f t="shared" ref="DF12:DQ12" si="48">-SUM(DF6:DF8)*DF9</f>
        <v>-5751.2020837696782</v>
      </c>
      <c r="DG12" s="12">
        <f t="shared" si="48"/>
        <v>-5751.2020837696782</v>
      </c>
      <c r="DH12" s="12">
        <f t="shared" si="48"/>
        <v>-5751.2020837696782</v>
      </c>
      <c r="DI12" s="12">
        <f t="shared" si="48"/>
        <v>-5751.2020837696782</v>
      </c>
      <c r="DJ12" s="12">
        <f t="shared" si="48"/>
        <v>-5751.2020837696782</v>
      </c>
      <c r="DK12" s="12">
        <f t="shared" si="48"/>
        <v>-5751.2020837696782</v>
      </c>
      <c r="DL12" s="12">
        <f t="shared" si="48"/>
        <v>-5751.2020837696782</v>
      </c>
      <c r="DM12" s="12">
        <f t="shared" si="48"/>
        <v>-5751.2020837696782</v>
      </c>
      <c r="DN12" s="12">
        <f t="shared" si="48"/>
        <v>-5751.2020837696782</v>
      </c>
      <c r="DO12" s="12">
        <f t="shared" si="48"/>
        <v>-5751.2020837696782</v>
      </c>
      <c r="DP12" s="12">
        <f t="shared" si="48"/>
        <v>-5751.2020837696782</v>
      </c>
      <c r="DQ12" s="12">
        <f t="shared" si="48"/>
        <v>-5751.2020837696782</v>
      </c>
      <c r="DR12" s="12">
        <f t="shared" si="36"/>
        <v>-69014.425005236131</v>
      </c>
      <c r="DS12" s="12">
        <f t="shared" ref="DS12:ED12" si="49">-SUM(DS6:DS8)*DS9</f>
        <v>-5923.7381462827698</v>
      </c>
      <c r="DT12" s="12">
        <f t="shared" si="49"/>
        <v>-5923.7381462827698</v>
      </c>
      <c r="DU12" s="12">
        <f t="shared" si="49"/>
        <v>-5923.7381462827698</v>
      </c>
      <c r="DV12" s="12">
        <f t="shared" si="49"/>
        <v>-5923.7381462827698</v>
      </c>
      <c r="DW12" s="12">
        <f t="shared" si="49"/>
        <v>-5923.7381462827698</v>
      </c>
      <c r="DX12" s="12">
        <f t="shared" si="49"/>
        <v>-5923.7381462827698</v>
      </c>
      <c r="DY12" s="12">
        <f t="shared" si="49"/>
        <v>-5923.7381462827698</v>
      </c>
      <c r="DZ12" s="12">
        <f t="shared" si="49"/>
        <v>-5923.7381462827698</v>
      </c>
      <c r="EA12" s="12">
        <f t="shared" si="49"/>
        <v>-5923.7381462827698</v>
      </c>
      <c r="EB12" s="12">
        <f t="shared" si="49"/>
        <v>-5923.7381462827698</v>
      </c>
      <c r="EC12" s="12">
        <f t="shared" si="49"/>
        <v>-5923.7381462827698</v>
      </c>
      <c r="ED12" s="12">
        <f t="shared" si="49"/>
        <v>-5923.7381462827698</v>
      </c>
      <c r="EE12" s="242">
        <f>SUM(DS12:ED12)</f>
        <v>-71084.857755393241</v>
      </c>
      <c r="EF12" s="11"/>
    </row>
    <row r="13" spans="2:168">
      <c r="B13" s="187" t="str">
        <f>'Inputs &amp; Assumptions'!$B$21</f>
        <v>Vacancy Loss</v>
      </c>
      <c r="C13" s="1056"/>
      <c r="D13" s="1056"/>
      <c r="E13" s="156" t="e">
        <f>'Inputs &amp; Assumptions'!#REF!</f>
        <v>#REF!</v>
      </c>
      <c r="F13" s="156">
        <f>-SUM(F6:F8)*F10</f>
        <v>-45400.520333333334</v>
      </c>
      <c r="G13" s="156">
        <f t="shared" ref="G13:Q13" si="50">-SUM(G6:G8)*G10</f>
        <v>-45400.520333333334</v>
      </c>
      <c r="H13" s="156">
        <f t="shared" si="50"/>
        <v>-45400.520333333334</v>
      </c>
      <c r="I13" s="156">
        <f t="shared" si="50"/>
        <v>-45400.520333333334</v>
      </c>
      <c r="J13" s="156">
        <f t="shared" si="50"/>
        <v>-45400.520333333334</v>
      </c>
      <c r="K13" s="156">
        <f t="shared" si="50"/>
        <v>-45400.520333333334</v>
      </c>
      <c r="L13" s="156">
        <f t="shared" si="50"/>
        <v>-45400.520333333334</v>
      </c>
      <c r="M13" s="156">
        <f t="shared" si="50"/>
        <v>-45400.520333333334</v>
      </c>
      <c r="N13" s="156">
        <f t="shared" si="50"/>
        <v>-45400.520333333334</v>
      </c>
      <c r="O13" s="156">
        <f t="shared" si="50"/>
        <v>-45400.520333333334</v>
      </c>
      <c r="P13" s="156">
        <f t="shared" si="50"/>
        <v>-45400.520333333334</v>
      </c>
      <c r="Q13" s="156">
        <f t="shared" si="50"/>
        <v>-45400.520333333334</v>
      </c>
      <c r="R13" s="156">
        <f>SUM(F13:Q13)</f>
        <v>-544806.24400000006</v>
      </c>
      <c r="S13" s="156">
        <f t="shared" ref="S13:AD13" si="51">-SUM(S6:S8)*S10</f>
        <v>-23381.267971666668</v>
      </c>
      <c r="T13" s="156">
        <f t="shared" si="51"/>
        <v>-23381.267971666668</v>
      </c>
      <c r="U13" s="156">
        <f t="shared" si="51"/>
        <v>-23381.267971666668</v>
      </c>
      <c r="V13" s="156">
        <f t="shared" si="51"/>
        <v>-23381.267971666668</v>
      </c>
      <c r="W13" s="156">
        <f t="shared" si="51"/>
        <v>-23381.267971666668</v>
      </c>
      <c r="X13" s="156">
        <f t="shared" si="51"/>
        <v>-23381.267971666668</v>
      </c>
      <c r="Y13" s="156">
        <f t="shared" si="51"/>
        <v>-23381.267971666668</v>
      </c>
      <c r="Z13" s="156">
        <f t="shared" si="51"/>
        <v>-23381.267971666668</v>
      </c>
      <c r="AA13" s="156">
        <f t="shared" si="51"/>
        <v>-23381.267971666668</v>
      </c>
      <c r="AB13" s="156">
        <f t="shared" si="51"/>
        <v>-23381.267971666668</v>
      </c>
      <c r="AC13" s="156">
        <f t="shared" si="51"/>
        <v>-23381.267971666668</v>
      </c>
      <c r="AD13" s="156">
        <f t="shared" si="51"/>
        <v>-23381.267971666668</v>
      </c>
      <c r="AE13" s="156">
        <f>SUM(S13:AD13)</f>
        <v>-280575.21566000005</v>
      </c>
      <c r="AF13" s="156">
        <f t="shared" ref="AF13:AQ13" si="52">-SUM(AF6:AF8)*AF10</f>
        <v>-24082.70601081667</v>
      </c>
      <c r="AG13" s="156">
        <f t="shared" si="52"/>
        <v>-24082.70601081667</v>
      </c>
      <c r="AH13" s="156">
        <f t="shared" si="52"/>
        <v>-24082.70601081667</v>
      </c>
      <c r="AI13" s="156">
        <f t="shared" si="52"/>
        <v>-24082.70601081667</v>
      </c>
      <c r="AJ13" s="156">
        <f t="shared" si="52"/>
        <v>-24082.70601081667</v>
      </c>
      <c r="AK13" s="156">
        <f t="shared" si="52"/>
        <v>-24082.70601081667</v>
      </c>
      <c r="AL13" s="156">
        <f t="shared" si="52"/>
        <v>-24082.70601081667</v>
      </c>
      <c r="AM13" s="156">
        <f t="shared" si="52"/>
        <v>-24082.70601081667</v>
      </c>
      <c r="AN13" s="156">
        <f t="shared" si="52"/>
        <v>-24082.70601081667</v>
      </c>
      <c r="AO13" s="156">
        <f t="shared" si="52"/>
        <v>-24082.70601081667</v>
      </c>
      <c r="AP13" s="156">
        <f t="shared" si="52"/>
        <v>-24082.70601081667</v>
      </c>
      <c r="AQ13" s="156">
        <f t="shared" si="52"/>
        <v>-24082.70601081667</v>
      </c>
      <c r="AR13" s="156">
        <f t="shared" si="42"/>
        <v>-288992.47212980007</v>
      </c>
      <c r="AS13" s="156">
        <f t="shared" ref="AS13:BD13" si="53">-SUM(AS6:AS8)*AS10</f>
        <v>-24805.187191141169</v>
      </c>
      <c r="AT13" s="156">
        <f t="shared" si="53"/>
        <v>-24805.187191141169</v>
      </c>
      <c r="AU13" s="156">
        <f t="shared" si="53"/>
        <v>-24805.187191141169</v>
      </c>
      <c r="AV13" s="156">
        <f t="shared" si="53"/>
        <v>-24805.187191141169</v>
      </c>
      <c r="AW13" s="156">
        <f t="shared" si="53"/>
        <v>-24805.187191141169</v>
      </c>
      <c r="AX13" s="156">
        <f t="shared" si="53"/>
        <v>-24805.187191141169</v>
      </c>
      <c r="AY13" s="156">
        <f t="shared" si="53"/>
        <v>-24805.187191141169</v>
      </c>
      <c r="AZ13" s="156">
        <f t="shared" si="53"/>
        <v>-24805.187191141169</v>
      </c>
      <c r="BA13" s="156">
        <f t="shared" si="53"/>
        <v>-24805.187191141169</v>
      </c>
      <c r="BB13" s="156">
        <f t="shared" si="53"/>
        <v>-24805.187191141169</v>
      </c>
      <c r="BC13" s="156">
        <f t="shared" si="53"/>
        <v>-24805.187191141169</v>
      </c>
      <c r="BD13" s="156">
        <f t="shared" si="53"/>
        <v>-24805.187191141169</v>
      </c>
      <c r="BE13" s="156">
        <f t="shared" si="26"/>
        <v>-297662.24629369401</v>
      </c>
      <c r="BF13" s="156">
        <f t="shared" ref="BF13:BQ13" si="54">-SUM(BF6:BF8)*BF10</f>
        <v>-25549.342806875404</v>
      </c>
      <c r="BG13" s="156">
        <f t="shared" si="54"/>
        <v>-25549.342806875404</v>
      </c>
      <c r="BH13" s="156">
        <f t="shared" si="54"/>
        <v>-25549.342806875404</v>
      </c>
      <c r="BI13" s="156">
        <f t="shared" si="54"/>
        <v>-25549.342806875404</v>
      </c>
      <c r="BJ13" s="156">
        <f t="shared" si="54"/>
        <v>-25549.342806875404</v>
      </c>
      <c r="BK13" s="156">
        <f t="shared" si="54"/>
        <v>-25549.342806875404</v>
      </c>
      <c r="BL13" s="156">
        <f t="shared" si="54"/>
        <v>-25549.342806875404</v>
      </c>
      <c r="BM13" s="156">
        <f t="shared" si="54"/>
        <v>-25549.342806875404</v>
      </c>
      <c r="BN13" s="156">
        <f t="shared" si="54"/>
        <v>-25549.342806875404</v>
      </c>
      <c r="BO13" s="156">
        <f t="shared" si="54"/>
        <v>-25549.342806875404</v>
      </c>
      <c r="BP13" s="156">
        <f t="shared" si="54"/>
        <v>-25549.342806875404</v>
      </c>
      <c r="BQ13" s="156">
        <f t="shared" si="54"/>
        <v>-25549.342806875404</v>
      </c>
      <c r="BR13" s="156">
        <f t="shared" si="28"/>
        <v>-306592.11368250492</v>
      </c>
      <c r="BS13" s="156">
        <f t="shared" ref="BS13:CD13" si="55">-SUM(BS6:BS8)*BS10</f>
        <v>-26315.823091081664</v>
      </c>
      <c r="BT13" s="156">
        <f t="shared" si="55"/>
        <v>-26315.823091081664</v>
      </c>
      <c r="BU13" s="156">
        <f t="shared" si="55"/>
        <v>-26315.823091081664</v>
      </c>
      <c r="BV13" s="156">
        <f t="shared" si="55"/>
        <v>-26315.823091081664</v>
      </c>
      <c r="BW13" s="156">
        <f t="shared" si="55"/>
        <v>-26315.823091081664</v>
      </c>
      <c r="BX13" s="156">
        <f t="shared" si="55"/>
        <v>-26315.823091081664</v>
      </c>
      <c r="BY13" s="156">
        <f t="shared" si="55"/>
        <v>-26315.823091081664</v>
      </c>
      <c r="BZ13" s="156">
        <f t="shared" si="55"/>
        <v>-26315.823091081664</v>
      </c>
      <c r="CA13" s="156">
        <f t="shared" si="55"/>
        <v>-26315.823091081664</v>
      </c>
      <c r="CB13" s="156">
        <f t="shared" si="55"/>
        <v>-26315.823091081664</v>
      </c>
      <c r="CC13" s="156">
        <f t="shared" si="55"/>
        <v>-26315.823091081664</v>
      </c>
      <c r="CD13" s="156">
        <f t="shared" si="55"/>
        <v>-26315.823091081664</v>
      </c>
      <c r="CE13" s="156">
        <f t="shared" si="30"/>
        <v>-315789.87709297996</v>
      </c>
      <c r="CF13" s="156">
        <f t="shared" ref="CF13:CQ13" si="56">-SUM(CF6:CF8)*CF10</f>
        <v>-27105.297783814116</v>
      </c>
      <c r="CG13" s="156">
        <f t="shared" si="56"/>
        <v>-27105.297783814116</v>
      </c>
      <c r="CH13" s="156">
        <f t="shared" si="56"/>
        <v>-27105.297783814116</v>
      </c>
      <c r="CI13" s="156">
        <f t="shared" si="56"/>
        <v>-27105.297783814116</v>
      </c>
      <c r="CJ13" s="156">
        <f t="shared" si="56"/>
        <v>-27105.297783814116</v>
      </c>
      <c r="CK13" s="156">
        <f t="shared" si="56"/>
        <v>-27105.297783814116</v>
      </c>
      <c r="CL13" s="156">
        <f t="shared" si="56"/>
        <v>-27105.297783814116</v>
      </c>
      <c r="CM13" s="156">
        <f t="shared" si="56"/>
        <v>-27105.297783814116</v>
      </c>
      <c r="CN13" s="156">
        <f t="shared" si="56"/>
        <v>-27105.297783814116</v>
      </c>
      <c r="CO13" s="156">
        <f t="shared" si="56"/>
        <v>-27105.297783814116</v>
      </c>
      <c r="CP13" s="156">
        <f t="shared" si="56"/>
        <v>-27105.297783814116</v>
      </c>
      <c r="CQ13" s="156">
        <f t="shared" si="56"/>
        <v>-27105.297783814116</v>
      </c>
      <c r="CR13" s="156">
        <f t="shared" si="32"/>
        <v>-325263.57340576942</v>
      </c>
      <c r="CS13" s="156">
        <f t="shared" ref="CS13:DD13" si="57">-SUM(CS6:CS8)*CS10</f>
        <v>-27918.456717328543</v>
      </c>
      <c r="CT13" s="156">
        <f t="shared" si="57"/>
        <v>-27918.456717328543</v>
      </c>
      <c r="CU13" s="156">
        <f t="shared" si="57"/>
        <v>-27918.456717328543</v>
      </c>
      <c r="CV13" s="156">
        <f t="shared" si="57"/>
        <v>-27918.456717328543</v>
      </c>
      <c r="CW13" s="156">
        <f t="shared" si="57"/>
        <v>-27918.456717328543</v>
      </c>
      <c r="CX13" s="156">
        <f t="shared" si="57"/>
        <v>-27918.456717328543</v>
      </c>
      <c r="CY13" s="156">
        <f t="shared" si="57"/>
        <v>-27918.456717328543</v>
      </c>
      <c r="CZ13" s="156">
        <f t="shared" si="57"/>
        <v>-27918.456717328543</v>
      </c>
      <c r="DA13" s="156">
        <f t="shared" si="57"/>
        <v>-27918.456717328543</v>
      </c>
      <c r="DB13" s="156">
        <f t="shared" si="57"/>
        <v>-27918.456717328543</v>
      </c>
      <c r="DC13" s="156">
        <f t="shared" si="57"/>
        <v>-27918.456717328543</v>
      </c>
      <c r="DD13" s="156">
        <f t="shared" si="57"/>
        <v>-27918.456717328543</v>
      </c>
      <c r="DE13" s="156">
        <f t="shared" si="34"/>
        <v>-335021.48060794245</v>
      </c>
      <c r="DF13" s="156">
        <f t="shared" ref="DF13:DQ13" si="58">-SUM(DF6:DF8)*DF10</f>
        <v>-28756.010418848393</v>
      </c>
      <c r="DG13" s="156">
        <f t="shared" si="58"/>
        <v>-28756.010418848393</v>
      </c>
      <c r="DH13" s="156">
        <f t="shared" si="58"/>
        <v>-28756.010418848393</v>
      </c>
      <c r="DI13" s="156">
        <f t="shared" si="58"/>
        <v>-28756.010418848393</v>
      </c>
      <c r="DJ13" s="156">
        <f t="shared" si="58"/>
        <v>-28756.010418848393</v>
      </c>
      <c r="DK13" s="156">
        <f t="shared" si="58"/>
        <v>-28756.010418848393</v>
      </c>
      <c r="DL13" s="156">
        <f t="shared" si="58"/>
        <v>-28756.010418848393</v>
      </c>
      <c r="DM13" s="156">
        <f t="shared" si="58"/>
        <v>-28756.010418848393</v>
      </c>
      <c r="DN13" s="156">
        <f t="shared" si="58"/>
        <v>-28756.010418848393</v>
      </c>
      <c r="DO13" s="156">
        <f t="shared" si="58"/>
        <v>-28756.010418848393</v>
      </c>
      <c r="DP13" s="156">
        <f t="shared" si="58"/>
        <v>-28756.010418848393</v>
      </c>
      <c r="DQ13" s="156">
        <f t="shared" si="58"/>
        <v>-28756.010418848393</v>
      </c>
      <c r="DR13" s="156">
        <f t="shared" si="36"/>
        <v>-345072.12502618064</v>
      </c>
      <c r="DS13" s="156">
        <f t="shared" ref="DS13:ED13" si="59">-SUM(DS6:DS8)*DS10</f>
        <v>-29618.690731413852</v>
      </c>
      <c r="DT13" s="156">
        <f t="shared" si="59"/>
        <v>-29618.690731413852</v>
      </c>
      <c r="DU13" s="156">
        <f t="shared" si="59"/>
        <v>-29618.690731413852</v>
      </c>
      <c r="DV13" s="156">
        <f t="shared" si="59"/>
        <v>-29618.690731413852</v>
      </c>
      <c r="DW13" s="156">
        <f t="shared" si="59"/>
        <v>-29618.690731413852</v>
      </c>
      <c r="DX13" s="156">
        <f t="shared" si="59"/>
        <v>-29618.690731413852</v>
      </c>
      <c r="DY13" s="156">
        <f t="shared" si="59"/>
        <v>-29618.690731413852</v>
      </c>
      <c r="DZ13" s="156">
        <f t="shared" si="59"/>
        <v>-29618.690731413852</v>
      </c>
      <c r="EA13" s="156">
        <f t="shared" si="59"/>
        <v>-29618.690731413852</v>
      </c>
      <c r="EB13" s="156">
        <f t="shared" si="59"/>
        <v>-29618.690731413852</v>
      </c>
      <c r="EC13" s="156">
        <f t="shared" si="59"/>
        <v>-29618.690731413852</v>
      </c>
      <c r="ED13" s="156">
        <f t="shared" si="59"/>
        <v>-29618.690731413852</v>
      </c>
      <c r="EE13" s="243">
        <f t="shared" si="38"/>
        <v>-355424.2887769661</v>
      </c>
      <c r="EF13" s="11"/>
    </row>
    <row r="14" spans="2:168">
      <c r="B14" s="161" t="str">
        <f>'Inputs &amp; Assumptions'!$B$22</f>
        <v>Concessions/Non-Rev</v>
      </c>
      <c r="E14" s="12" t="e">
        <f>'Inputs &amp; Assumptions'!#REF!</f>
        <v>#REF!</v>
      </c>
      <c r="F14" s="12">
        <f>-SUM(F6:F8)*'Inputs &amp; Assumptions'!$V$48</f>
        <v>-2270.0260166666667</v>
      </c>
      <c r="G14" s="12">
        <f>-SUM(G6:G8)*'Inputs &amp; Assumptions'!$V$48</f>
        <v>-2270.0260166666667</v>
      </c>
      <c r="H14" s="12">
        <f>-SUM(H6:H8)*'Inputs &amp; Assumptions'!$V$48</f>
        <v>-2270.0260166666667</v>
      </c>
      <c r="I14" s="12">
        <f>-SUM(I6:I8)*'Inputs &amp; Assumptions'!$V$48</f>
        <v>-2270.0260166666667</v>
      </c>
      <c r="J14" s="12">
        <f>-SUM(J6:J8)*'Inputs &amp; Assumptions'!$V$48</f>
        <v>-2270.0260166666667</v>
      </c>
      <c r="K14" s="12">
        <f>-SUM(K6:K8)*'Inputs &amp; Assumptions'!$V$48</f>
        <v>-2270.0260166666667</v>
      </c>
      <c r="L14" s="12">
        <f>-SUM(L6:L8)*'Inputs &amp; Assumptions'!$V$48</f>
        <v>-2270.0260166666667</v>
      </c>
      <c r="M14" s="12">
        <f>-SUM(M6:M8)*'Inputs &amp; Assumptions'!$V$48</f>
        <v>-2270.0260166666667</v>
      </c>
      <c r="N14" s="12">
        <f>-SUM(N6:N8)*'Inputs &amp; Assumptions'!$V$48</f>
        <v>-2270.0260166666667</v>
      </c>
      <c r="O14" s="12">
        <f>-SUM(O6:O8)*'Inputs &amp; Assumptions'!$V$48</f>
        <v>-2270.0260166666667</v>
      </c>
      <c r="P14" s="12">
        <f>-SUM(P6:P8)*'Inputs &amp; Assumptions'!$V$48</f>
        <v>-2270.0260166666667</v>
      </c>
      <c r="Q14" s="12">
        <f>-SUM(Q6:Q8)*'Inputs &amp; Assumptions'!$V$48</f>
        <v>-2270.0260166666667</v>
      </c>
      <c r="R14" s="12">
        <f>SUM(F14:Q14)</f>
        <v>-27240.3122</v>
      </c>
      <c r="S14" s="12">
        <f>-SUM(S6:S8)*'Inputs &amp; Assumptions'!$V$48</f>
        <v>-2338.1267971666666</v>
      </c>
      <c r="T14" s="12">
        <f>-SUM(T6:T8)*'Inputs &amp; Assumptions'!$V$48</f>
        <v>-2338.1267971666666</v>
      </c>
      <c r="U14" s="12">
        <f>-SUM(U6:U8)*'Inputs &amp; Assumptions'!$V$48</f>
        <v>-2338.1267971666666</v>
      </c>
      <c r="V14" s="12">
        <f>-SUM(V6:V8)*'Inputs &amp; Assumptions'!$V$48</f>
        <v>-2338.1267971666666</v>
      </c>
      <c r="W14" s="12">
        <f>-SUM(W6:W8)*'Inputs &amp; Assumptions'!$V$48</f>
        <v>-2338.1267971666666</v>
      </c>
      <c r="X14" s="12">
        <f>-SUM(X6:X8)*'Inputs &amp; Assumptions'!$V$48</f>
        <v>-2338.1267971666666</v>
      </c>
      <c r="Y14" s="12">
        <f>-SUM(Y6:Y8)*'Inputs &amp; Assumptions'!$V$48</f>
        <v>-2338.1267971666666</v>
      </c>
      <c r="Z14" s="12">
        <f>-SUM(Z6:Z8)*'Inputs &amp; Assumptions'!$V$48</f>
        <v>-2338.1267971666666</v>
      </c>
      <c r="AA14" s="12">
        <f>-SUM(AA6:AA8)*'Inputs &amp; Assumptions'!$V$48</f>
        <v>-2338.1267971666666</v>
      </c>
      <c r="AB14" s="12">
        <f>-SUM(AB6:AB8)*'Inputs &amp; Assumptions'!$V$48</f>
        <v>-2338.1267971666666</v>
      </c>
      <c r="AC14" s="12">
        <f>-SUM(AC6:AC8)*'Inputs &amp; Assumptions'!$V$48</f>
        <v>-2338.1267971666666</v>
      </c>
      <c r="AD14" s="12">
        <f>-SUM(AD6:AD8)*'Inputs &amp; Assumptions'!$V$48</f>
        <v>-2338.1267971666666</v>
      </c>
      <c r="AE14" s="12">
        <f>SUM(S14:AD14)</f>
        <v>-28057.521566000007</v>
      </c>
      <c r="AF14" s="12">
        <f>-SUM(AF6:AF8)*'Inputs &amp; Assumptions'!$V$48</f>
        <v>-2408.2706010816669</v>
      </c>
      <c r="AG14" s="12">
        <f>-SUM(AG6:AG8)*'Inputs &amp; Assumptions'!$V$48</f>
        <v>-2408.2706010816669</v>
      </c>
      <c r="AH14" s="12">
        <f>-SUM(AH6:AH8)*'Inputs &amp; Assumptions'!$V$48</f>
        <v>-2408.2706010816669</v>
      </c>
      <c r="AI14" s="12">
        <f>-SUM(AI6:AI8)*'Inputs &amp; Assumptions'!$V$48</f>
        <v>-2408.2706010816669</v>
      </c>
      <c r="AJ14" s="12">
        <f>-SUM(AJ6:AJ8)*'Inputs &amp; Assumptions'!$V$48</f>
        <v>-2408.2706010816669</v>
      </c>
      <c r="AK14" s="12">
        <f>-SUM(AK6:AK8)*'Inputs &amp; Assumptions'!$V$48</f>
        <v>-2408.2706010816669</v>
      </c>
      <c r="AL14" s="12">
        <f>-SUM(AL6:AL8)*'Inputs &amp; Assumptions'!$V$48</f>
        <v>-2408.2706010816669</v>
      </c>
      <c r="AM14" s="12">
        <f>-SUM(AM6:AM8)*'Inputs &amp; Assumptions'!$V$48</f>
        <v>-2408.2706010816669</v>
      </c>
      <c r="AN14" s="12">
        <f>-SUM(AN6:AN8)*'Inputs &amp; Assumptions'!$V$48</f>
        <v>-2408.2706010816669</v>
      </c>
      <c r="AO14" s="12">
        <f>-SUM(AO6:AO8)*'Inputs &amp; Assumptions'!$V$48</f>
        <v>-2408.2706010816669</v>
      </c>
      <c r="AP14" s="12">
        <f>-SUM(AP6:AP8)*'Inputs &amp; Assumptions'!$V$48</f>
        <v>-2408.2706010816669</v>
      </c>
      <c r="AQ14" s="12">
        <f>-SUM(AQ6:AQ8)*'Inputs &amp; Assumptions'!$V$48</f>
        <v>-2408.2706010816669</v>
      </c>
      <c r="AR14" s="12">
        <f t="shared" si="42"/>
        <v>-28899.247212979997</v>
      </c>
      <c r="AS14" s="12">
        <f>-SUM(AS6:AS8)*'Inputs &amp; Assumptions'!$V$48</f>
        <v>-2480.5187191141167</v>
      </c>
      <c r="AT14" s="12">
        <f>-SUM(AT6:AT8)*'Inputs &amp; Assumptions'!$V$48</f>
        <v>-2480.5187191141167</v>
      </c>
      <c r="AU14" s="12">
        <f>-SUM(AU6:AU8)*'Inputs &amp; Assumptions'!$V$48</f>
        <v>-2480.5187191141167</v>
      </c>
      <c r="AV14" s="12">
        <f>-SUM(AV6:AV8)*'Inputs &amp; Assumptions'!$V$48</f>
        <v>-2480.5187191141167</v>
      </c>
      <c r="AW14" s="12">
        <f>-SUM(AW6:AW8)*'Inputs &amp; Assumptions'!$V$48</f>
        <v>-2480.5187191141167</v>
      </c>
      <c r="AX14" s="12">
        <f>-SUM(AX6:AX8)*'Inputs &amp; Assumptions'!$V$48</f>
        <v>-2480.5187191141167</v>
      </c>
      <c r="AY14" s="12">
        <f>-SUM(AY6:AY8)*'Inputs &amp; Assumptions'!$V$48</f>
        <v>-2480.5187191141167</v>
      </c>
      <c r="AZ14" s="12">
        <f>-SUM(AZ6:AZ8)*'Inputs &amp; Assumptions'!$V$48</f>
        <v>-2480.5187191141167</v>
      </c>
      <c r="BA14" s="12">
        <f>-SUM(BA6:BA8)*'Inputs &amp; Assumptions'!$V$48</f>
        <v>-2480.5187191141167</v>
      </c>
      <c r="BB14" s="12">
        <f>-SUM(BB6:BB8)*'Inputs &amp; Assumptions'!$V$48</f>
        <v>-2480.5187191141167</v>
      </c>
      <c r="BC14" s="12">
        <f>-SUM(BC6:BC8)*'Inputs &amp; Assumptions'!$V$48</f>
        <v>-2480.5187191141167</v>
      </c>
      <c r="BD14" s="12">
        <f>-SUM(BD6:BD8)*'Inputs &amp; Assumptions'!$V$48</f>
        <v>-2480.5187191141167</v>
      </c>
      <c r="BE14" s="12">
        <f t="shared" si="26"/>
        <v>-29766.224629369393</v>
      </c>
      <c r="BF14" s="12">
        <f>-SUM(BF6:BF8)*'Inputs &amp; Assumptions'!$V$48</f>
        <v>-2554.9342806875402</v>
      </c>
      <c r="BG14" s="12">
        <f>-SUM(BG6:BG8)*'Inputs &amp; Assumptions'!$V$48</f>
        <v>-2554.9342806875402</v>
      </c>
      <c r="BH14" s="12">
        <f>-SUM(BH6:BH8)*'Inputs &amp; Assumptions'!$V$48</f>
        <v>-2554.9342806875402</v>
      </c>
      <c r="BI14" s="12">
        <f>-SUM(BI6:BI8)*'Inputs &amp; Assumptions'!$V$48</f>
        <v>-2554.9342806875402</v>
      </c>
      <c r="BJ14" s="12">
        <f>-SUM(BJ6:BJ8)*'Inputs &amp; Assumptions'!$V$48</f>
        <v>-2554.9342806875402</v>
      </c>
      <c r="BK14" s="12">
        <f>-SUM(BK6:BK8)*'Inputs &amp; Assumptions'!$V$48</f>
        <v>-2554.9342806875402</v>
      </c>
      <c r="BL14" s="12">
        <f>-SUM(BL6:BL8)*'Inputs &amp; Assumptions'!$V$48</f>
        <v>-2554.9342806875402</v>
      </c>
      <c r="BM14" s="12">
        <f>-SUM(BM6:BM8)*'Inputs &amp; Assumptions'!$V$48</f>
        <v>-2554.9342806875402</v>
      </c>
      <c r="BN14" s="12">
        <f>-SUM(BN6:BN8)*'Inputs &amp; Assumptions'!$V$48</f>
        <v>-2554.9342806875402</v>
      </c>
      <c r="BO14" s="12">
        <f>-SUM(BO6:BO8)*'Inputs &amp; Assumptions'!$V$48</f>
        <v>-2554.9342806875402</v>
      </c>
      <c r="BP14" s="12">
        <f>-SUM(BP6:BP8)*'Inputs &amp; Assumptions'!$V$48</f>
        <v>-2554.9342806875402</v>
      </c>
      <c r="BQ14" s="12">
        <f>-SUM(BQ6:BQ8)*'Inputs &amp; Assumptions'!$V$48</f>
        <v>-2554.9342806875402</v>
      </c>
      <c r="BR14" s="12">
        <f t="shared" si="28"/>
        <v>-30659.211368250475</v>
      </c>
      <c r="BS14" s="12">
        <f>-SUM(BS6:BS8)*'Inputs &amp; Assumptions'!$V$48</f>
        <v>-2631.5823091081666</v>
      </c>
      <c r="BT14" s="12">
        <f>-SUM(BT6:BT8)*'Inputs &amp; Assumptions'!$V$48</f>
        <v>-2631.5823091081666</v>
      </c>
      <c r="BU14" s="12">
        <f>-SUM(BU6:BU8)*'Inputs &amp; Assumptions'!$V$48</f>
        <v>-2631.5823091081666</v>
      </c>
      <c r="BV14" s="12">
        <f>-SUM(BV6:BV8)*'Inputs &amp; Assumptions'!$V$48</f>
        <v>-2631.5823091081666</v>
      </c>
      <c r="BW14" s="12">
        <f>-SUM(BW6:BW8)*'Inputs &amp; Assumptions'!$V$48</f>
        <v>-2631.5823091081666</v>
      </c>
      <c r="BX14" s="12">
        <f>-SUM(BX6:BX8)*'Inputs &amp; Assumptions'!$V$48</f>
        <v>-2631.5823091081666</v>
      </c>
      <c r="BY14" s="12">
        <f>-SUM(BY6:BY8)*'Inputs &amp; Assumptions'!$V$48</f>
        <v>-2631.5823091081666</v>
      </c>
      <c r="BZ14" s="12">
        <f>-SUM(BZ6:BZ8)*'Inputs &amp; Assumptions'!$V$48</f>
        <v>-2631.5823091081666</v>
      </c>
      <c r="CA14" s="12">
        <f>-SUM(CA6:CA8)*'Inputs &amp; Assumptions'!$V$48</f>
        <v>-2631.5823091081666</v>
      </c>
      <c r="CB14" s="12">
        <f>-SUM(CB6:CB8)*'Inputs &amp; Assumptions'!$V$48</f>
        <v>-2631.5823091081666</v>
      </c>
      <c r="CC14" s="12">
        <f>-SUM(CC6:CC8)*'Inputs &amp; Assumptions'!$V$48</f>
        <v>-2631.5823091081666</v>
      </c>
      <c r="CD14" s="12">
        <f>-SUM(CD6:CD8)*'Inputs &amp; Assumptions'!$V$48</f>
        <v>-2631.5823091081666</v>
      </c>
      <c r="CE14" s="12">
        <f t="shared" si="30"/>
        <v>-31578.987709297991</v>
      </c>
      <c r="CF14" s="12">
        <f>-SUM(CF6:CF8)*'Inputs &amp; Assumptions'!$V$48</f>
        <v>-2710.5297783814117</v>
      </c>
      <c r="CG14" s="12">
        <f>-SUM(CG6:CG8)*'Inputs &amp; Assumptions'!$V$48</f>
        <v>-2710.5297783814117</v>
      </c>
      <c r="CH14" s="12">
        <f>-SUM(CH6:CH8)*'Inputs &amp; Assumptions'!$V$48</f>
        <v>-2710.5297783814117</v>
      </c>
      <c r="CI14" s="12">
        <f>-SUM(CI6:CI8)*'Inputs &amp; Assumptions'!$V$48</f>
        <v>-2710.5297783814117</v>
      </c>
      <c r="CJ14" s="12">
        <f>-SUM(CJ6:CJ8)*'Inputs &amp; Assumptions'!$V$48</f>
        <v>-2710.5297783814117</v>
      </c>
      <c r="CK14" s="12">
        <f>-SUM(CK6:CK8)*'Inputs &amp; Assumptions'!$V$48</f>
        <v>-2710.5297783814117</v>
      </c>
      <c r="CL14" s="12">
        <f>-SUM(CL6:CL8)*'Inputs &amp; Assumptions'!$V$48</f>
        <v>-2710.5297783814117</v>
      </c>
      <c r="CM14" s="12">
        <f>-SUM(CM6:CM8)*'Inputs &amp; Assumptions'!$V$48</f>
        <v>-2710.5297783814117</v>
      </c>
      <c r="CN14" s="12">
        <f>-SUM(CN6:CN8)*'Inputs &amp; Assumptions'!$V$48</f>
        <v>-2710.5297783814117</v>
      </c>
      <c r="CO14" s="12">
        <f>-SUM(CO6:CO8)*'Inputs &amp; Assumptions'!$V$48</f>
        <v>-2710.5297783814117</v>
      </c>
      <c r="CP14" s="12">
        <f>-SUM(CP6:CP8)*'Inputs &amp; Assumptions'!$V$48</f>
        <v>-2710.5297783814117</v>
      </c>
      <c r="CQ14" s="12">
        <f>-SUM(CQ6:CQ8)*'Inputs &amp; Assumptions'!$V$48</f>
        <v>-2710.5297783814117</v>
      </c>
      <c r="CR14" s="12">
        <f t="shared" si="32"/>
        <v>-32526.357340576946</v>
      </c>
      <c r="CS14" s="12">
        <f>-SUM(CS6:CS8)*'Inputs &amp; Assumptions'!$V$48</f>
        <v>-2791.845671732854</v>
      </c>
      <c r="CT14" s="12">
        <f>-SUM(CT6:CT8)*'Inputs &amp; Assumptions'!$V$48</f>
        <v>-2791.845671732854</v>
      </c>
      <c r="CU14" s="12">
        <f>-SUM(CU6:CU8)*'Inputs &amp; Assumptions'!$V$48</f>
        <v>-2791.845671732854</v>
      </c>
      <c r="CV14" s="12">
        <f>-SUM(CV6:CV8)*'Inputs &amp; Assumptions'!$V$48</f>
        <v>-2791.845671732854</v>
      </c>
      <c r="CW14" s="12">
        <f>-SUM(CW6:CW8)*'Inputs &amp; Assumptions'!$V$48</f>
        <v>-2791.845671732854</v>
      </c>
      <c r="CX14" s="12">
        <f>-SUM(CX6:CX8)*'Inputs &amp; Assumptions'!$V$48</f>
        <v>-2791.845671732854</v>
      </c>
      <c r="CY14" s="12">
        <f>-SUM(CY6:CY8)*'Inputs &amp; Assumptions'!$V$48</f>
        <v>-2791.845671732854</v>
      </c>
      <c r="CZ14" s="12">
        <f>-SUM(CZ6:CZ8)*'Inputs &amp; Assumptions'!$V$48</f>
        <v>-2791.845671732854</v>
      </c>
      <c r="DA14" s="12">
        <f>-SUM(DA6:DA8)*'Inputs &amp; Assumptions'!$V$48</f>
        <v>-2791.845671732854</v>
      </c>
      <c r="DB14" s="12">
        <f>-SUM(DB6:DB8)*'Inputs &amp; Assumptions'!$V$48</f>
        <v>-2791.845671732854</v>
      </c>
      <c r="DC14" s="12">
        <f>-SUM(DC6:DC8)*'Inputs &amp; Assumptions'!$V$48</f>
        <v>-2791.845671732854</v>
      </c>
      <c r="DD14" s="12">
        <f>-SUM(DD6:DD8)*'Inputs &amp; Assumptions'!$V$48</f>
        <v>-2791.845671732854</v>
      </c>
      <c r="DE14" s="12">
        <f t="shared" si="34"/>
        <v>-33502.148060794258</v>
      </c>
      <c r="DF14" s="12">
        <f>-SUM(DF6:DF8)*'Inputs &amp; Assumptions'!$V$48</f>
        <v>-2875.6010418848391</v>
      </c>
      <c r="DG14" s="12">
        <f>-SUM(DG6:DG8)*'Inputs &amp; Assumptions'!$V$48</f>
        <v>-2875.6010418848391</v>
      </c>
      <c r="DH14" s="12">
        <f>-SUM(DH6:DH8)*'Inputs &amp; Assumptions'!$V$48</f>
        <v>-2875.6010418848391</v>
      </c>
      <c r="DI14" s="12">
        <f>-SUM(DI6:DI8)*'Inputs &amp; Assumptions'!$V$48</f>
        <v>-2875.6010418848391</v>
      </c>
      <c r="DJ14" s="12">
        <f>-SUM(DJ6:DJ8)*'Inputs &amp; Assumptions'!$V$48</f>
        <v>-2875.6010418848391</v>
      </c>
      <c r="DK14" s="12">
        <f>-SUM(DK6:DK8)*'Inputs &amp; Assumptions'!$V$48</f>
        <v>-2875.6010418848391</v>
      </c>
      <c r="DL14" s="12">
        <f>-SUM(DL6:DL8)*'Inputs &amp; Assumptions'!$V$48</f>
        <v>-2875.6010418848391</v>
      </c>
      <c r="DM14" s="12">
        <f>-SUM(DM6:DM8)*'Inputs &amp; Assumptions'!$V$48</f>
        <v>-2875.6010418848391</v>
      </c>
      <c r="DN14" s="12">
        <f>-SUM(DN6:DN8)*'Inputs &amp; Assumptions'!$V$48</f>
        <v>-2875.6010418848391</v>
      </c>
      <c r="DO14" s="12">
        <f>-SUM(DO6:DO8)*'Inputs &amp; Assumptions'!$V$48</f>
        <v>-2875.6010418848391</v>
      </c>
      <c r="DP14" s="12">
        <f>-SUM(DP6:DP8)*'Inputs &amp; Assumptions'!$V$48</f>
        <v>-2875.6010418848391</v>
      </c>
      <c r="DQ14" s="12">
        <f>-SUM(DQ6:DQ8)*'Inputs &amp; Assumptions'!$V$48</f>
        <v>-2875.6010418848391</v>
      </c>
      <c r="DR14" s="12">
        <f t="shared" si="36"/>
        <v>-34507.212502618066</v>
      </c>
      <c r="DS14" s="12">
        <f>-SUM(DS6:DS8)*'Inputs &amp; Assumptions'!$V$48</f>
        <v>-2961.8690731413849</v>
      </c>
      <c r="DT14" s="12">
        <f>-SUM(DT6:DT8)*'Inputs &amp; Assumptions'!$V$48</f>
        <v>-2961.8690731413849</v>
      </c>
      <c r="DU14" s="12">
        <f>-SUM(DU6:DU8)*'Inputs &amp; Assumptions'!$V$48</f>
        <v>-2961.8690731413849</v>
      </c>
      <c r="DV14" s="12">
        <f>-SUM(DV6:DV8)*'Inputs &amp; Assumptions'!$V$48</f>
        <v>-2961.8690731413849</v>
      </c>
      <c r="DW14" s="12">
        <f>-SUM(DW6:DW8)*'Inputs &amp; Assumptions'!$V$48</f>
        <v>-2961.8690731413849</v>
      </c>
      <c r="DX14" s="12">
        <f>-SUM(DX6:DX8)*'Inputs &amp; Assumptions'!$V$48</f>
        <v>-2961.8690731413849</v>
      </c>
      <c r="DY14" s="12">
        <f>-SUM(DY6:DY8)*'Inputs &amp; Assumptions'!$V$48</f>
        <v>-2961.8690731413849</v>
      </c>
      <c r="DZ14" s="12">
        <f>-SUM(DZ6:DZ8)*'Inputs &amp; Assumptions'!$V$48</f>
        <v>-2961.8690731413849</v>
      </c>
      <c r="EA14" s="12">
        <f>-SUM(EA6:EA8)*'Inputs &amp; Assumptions'!$V$48</f>
        <v>-2961.8690731413849</v>
      </c>
      <c r="EB14" s="12">
        <f>-SUM(EB6:EB8)*'Inputs &amp; Assumptions'!$V$48</f>
        <v>-2961.8690731413849</v>
      </c>
      <c r="EC14" s="12">
        <f>-SUM(EC6:EC8)*'Inputs &amp; Assumptions'!$V$48</f>
        <v>-2961.8690731413849</v>
      </c>
      <c r="ED14" s="12">
        <f>-SUM(ED6:ED8)*'Inputs &amp; Assumptions'!$V$48</f>
        <v>-2961.8690731413849</v>
      </c>
      <c r="EE14" s="242">
        <f t="shared" si="38"/>
        <v>-35542.42887769662</v>
      </c>
      <c r="EF14" s="11"/>
    </row>
    <row r="15" spans="2:168">
      <c r="B15" s="187" t="str">
        <f>'Inputs &amp; Assumptions'!$B$23</f>
        <v>Bad Debt</v>
      </c>
      <c r="C15" s="1056"/>
      <c r="D15" s="1056"/>
      <c r="E15" s="156" t="e">
        <f>'Inputs &amp; Assumptions'!#REF!</f>
        <v>#REF!</v>
      </c>
      <c r="F15" s="156">
        <f>-SUM(F6:F8)*F11</f>
        <v>-227.00260166666666</v>
      </c>
      <c r="G15" s="156">
        <f t="shared" ref="G15:Q15" si="60">-SUM(G6:G8)*G11</f>
        <v>-227.00260166666666</v>
      </c>
      <c r="H15" s="156">
        <f t="shared" si="60"/>
        <v>-227.00260166666666</v>
      </c>
      <c r="I15" s="156">
        <f t="shared" si="60"/>
        <v>-227.00260166666666</v>
      </c>
      <c r="J15" s="156">
        <f t="shared" si="60"/>
        <v>-227.00260166666666</v>
      </c>
      <c r="K15" s="156">
        <f t="shared" si="60"/>
        <v>-227.00260166666666</v>
      </c>
      <c r="L15" s="156">
        <f t="shared" si="60"/>
        <v>-227.00260166666666</v>
      </c>
      <c r="M15" s="156">
        <f t="shared" si="60"/>
        <v>-227.00260166666666</v>
      </c>
      <c r="N15" s="156">
        <f t="shared" si="60"/>
        <v>-227.00260166666666</v>
      </c>
      <c r="O15" s="156">
        <f t="shared" si="60"/>
        <v>-227.00260166666666</v>
      </c>
      <c r="P15" s="156">
        <f t="shared" si="60"/>
        <v>-227.00260166666666</v>
      </c>
      <c r="Q15" s="156">
        <f t="shared" si="60"/>
        <v>-227.00260166666666</v>
      </c>
      <c r="R15" s="156">
        <f>SUM(F15:Q15)</f>
        <v>-2724.0312199999994</v>
      </c>
      <c r="S15" s="156">
        <f t="shared" ref="S15:AD15" si="61">-SUM(S6:S8)*S11</f>
        <v>-233.81267971666668</v>
      </c>
      <c r="T15" s="156">
        <f t="shared" si="61"/>
        <v>-233.81267971666668</v>
      </c>
      <c r="U15" s="156">
        <f t="shared" si="61"/>
        <v>-233.81267971666668</v>
      </c>
      <c r="V15" s="156">
        <f t="shared" si="61"/>
        <v>-233.81267971666668</v>
      </c>
      <c r="W15" s="156">
        <f t="shared" si="61"/>
        <v>-233.81267971666668</v>
      </c>
      <c r="X15" s="156">
        <f t="shared" si="61"/>
        <v>-233.81267971666668</v>
      </c>
      <c r="Y15" s="156">
        <f t="shared" si="61"/>
        <v>-233.81267971666668</v>
      </c>
      <c r="Z15" s="156">
        <f t="shared" si="61"/>
        <v>-233.81267971666668</v>
      </c>
      <c r="AA15" s="156">
        <f t="shared" si="61"/>
        <v>-233.81267971666668</v>
      </c>
      <c r="AB15" s="156">
        <f t="shared" si="61"/>
        <v>-233.81267971666668</v>
      </c>
      <c r="AC15" s="156">
        <f t="shared" si="61"/>
        <v>-233.81267971666668</v>
      </c>
      <c r="AD15" s="156">
        <f t="shared" si="61"/>
        <v>-233.81267971666668</v>
      </c>
      <c r="AE15" s="156">
        <f>SUM(S15:AD15)</f>
        <v>-2805.7521565999996</v>
      </c>
      <c r="AF15" s="156">
        <f t="shared" ref="AF15:AQ15" si="62">-SUM(AF6:AF8)*AF11</f>
        <v>-240.82706010816668</v>
      </c>
      <c r="AG15" s="156">
        <f t="shared" si="62"/>
        <v>-240.82706010816668</v>
      </c>
      <c r="AH15" s="156">
        <f t="shared" si="62"/>
        <v>-240.82706010816668</v>
      </c>
      <c r="AI15" s="156">
        <f t="shared" si="62"/>
        <v>-240.82706010816668</v>
      </c>
      <c r="AJ15" s="156">
        <f t="shared" si="62"/>
        <v>-240.82706010816668</v>
      </c>
      <c r="AK15" s="156">
        <f t="shared" si="62"/>
        <v>-240.82706010816668</v>
      </c>
      <c r="AL15" s="156">
        <f t="shared" si="62"/>
        <v>-240.82706010816668</v>
      </c>
      <c r="AM15" s="156">
        <f t="shared" si="62"/>
        <v>-240.82706010816668</v>
      </c>
      <c r="AN15" s="156">
        <f t="shared" si="62"/>
        <v>-240.82706010816668</v>
      </c>
      <c r="AO15" s="156">
        <f t="shared" si="62"/>
        <v>-240.82706010816668</v>
      </c>
      <c r="AP15" s="156">
        <f t="shared" si="62"/>
        <v>-240.82706010816668</v>
      </c>
      <c r="AQ15" s="156">
        <f t="shared" si="62"/>
        <v>-240.82706010816668</v>
      </c>
      <c r="AR15" s="156">
        <f>SUM(AF15:AQ15)</f>
        <v>-2889.9247212980003</v>
      </c>
      <c r="AS15" s="156">
        <f t="shared" ref="AS15:BD15" si="63">-SUM(AS6:AS8)*AS11</f>
        <v>-248.05187191141167</v>
      </c>
      <c r="AT15" s="156">
        <f t="shared" si="63"/>
        <v>-248.05187191141167</v>
      </c>
      <c r="AU15" s="156">
        <f t="shared" si="63"/>
        <v>-248.05187191141167</v>
      </c>
      <c r="AV15" s="156">
        <f t="shared" si="63"/>
        <v>-248.05187191141167</v>
      </c>
      <c r="AW15" s="156">
        <f t="shared" si="63"/>
        <v>-248.05187191141167</v>
      </c>
      <c r="AX15" s="156">
        <f t="shared" si="63"/>
        <v>-248.05187191141167</v>
      </c>
      <c r="AY15" s="156">
        <f t="shared" si="63"/>
        <v>-248.05187191141167</v>
      </c>
      <c r="AZ15" s="156">
        <f t="shared" si="63"/>
        <v>-248.05187191141167</v>
      </c>
      <c r="BA15" s="156">
        <f t="shared" si="63"/>
        <v>-248.05187191141167</v>
      </c>
      <c r="BB15" s="156">
        <f t="shared" si="63"/>
        <v>-248.05187191141167</v>
      </c>
      <c r="BC15" s="156">
        <f t="shared" si="63"/>
        <v>-248.05187191141167</v>
      </c>
      <c r="BD15" s="156">
        <f t="shared" si="63"/>
        <v>-248.05187191141167</v>
      </c>
      <c r="BE15" s="156">
        <f t="shared" si="26"/>
        <v>-2976.6224629369394</v>
      </c>
      <c r="BF15" s="156">
        <f t="shared" ref="BF15:BQ15" si="64">-SUM(BF6:BF8)*BF11</f>
        <v>-255.49342806875404</v>
      </c>
      <c r="BG15" s="156">
        <f t="shared" si="64"/>
        <v>-255.49342806875404</v>
      </c>
      <c r="BH15" s="156">
        <f t="shared" si="64"/>
        <v>-255.49342806875404</v>
      </c>
      <c r="BI15" s="156">
        <f t="shared" si="64"/>
        <v>-255.49342806875404</v>
      </c>
      <c r="BJ15" s="156">
        <f t="shared" si="64"/>
        <v>-255.49342806875404</v>
      </c>
      <c r="BK15" s="156">
        <f t="shared" si="64"/>
        <v>-255.49342806875404</v>
      </c>
      <c r="BL15" s="156">
        <f t="shared" si="64"/>
        <v>-255.49342806875404</v>
      </c>
      <c r="BM15" s="156">
        <f t="shared" si="64"/>
        <v>-255.49342806875404</v>
      </c>
      <c r="BN15" s="156">
        <f t="shared" si="64"/>
        <v>-255.49342806875404</v>
      </c>
      <c r="BO15" s="156">
        <f t="shared" si="64"/>
        <v>-255.49342806875404</v>
      </c>
      <c r="BP15" s="156">
        <f t="shared" si="64"/>
        <v>-255.49342806875404</v>
      </c>
      <c r="BQ15" s="156">
        <f t="shared" si="64"/>
        <v>-255.49342806875404</v>
      </c>
      <c r="BR15" s="156">
        <f t="shared" si="28"/>
        <v>-3065.9211368250476</v>
      </c>
      <c r="BS15" s="156">
        <f t="shared" ref="BS15:CD15" si="65">-SUM(BS6:BS8)*BS11</f>
        <v>-263.15823091081666</v>
      </c>
      <c r="BT15" s="156">
        <f t="shared" si="65"/>
        <v>-263.15823091081666</v>
      </c>
      <c r="BU15" s="156">
        <f t="shared" si="65"/>
        <v>-263.15823091081666</v>
      </c>
      <c r="BV15" s="156">
        <f t="shared" si="65"/>
        <v>-263.15823091081666</v>
      </c>
      <c r="BW15" s="156">
        <f t="shared" si="65"/>
        <v>-263.15823091081666</v>
      </c>
      <c r="BX15" s="156">
        <f t="shared" si="65"/>
        <v>-263.15823091081666</v>
      </c>
      <c r="BY15" s="156">
        <f t="shared" si="65"/>
        <v>-263.15823091081666</v>
      </c>
      <c r="BZ15" s="156">
        <f t="shared" si="65"/>
        <v>-263.15823091081666</v>
      </c>
      <c r="CA15" s="156">
        <f t="shared" si="65"/>
        <v>-263.15823091081666</v>
      </c>
      <c r="CB15" s="156">
        <f t="shared" si="65"/>
        <v>-263.15823091081666</v>
      </c>
      <c r="CC15" s="156">
        <f t="shared" si="65"/>
        <v>-263.15823091081666</v>
      </c>
      <c r="CD15" s="156">
        <f t="shared" si="65"/>
        <v>-263.15823091081666</v>
      </c>
      <c r="CE15" s="156">
        <f t="shared" si="30"/>
        <v>-3157.8987709297999</v>
      </c>
      <c r="CF15" s="156">
        <f t="shared" ref="CF15:CQ15" si="66">-SUM(CF6:CF8)*CF11</f>
        <v>-271.05297783814115</v>
      </c>
      <c r="CG15" s="156">
        <f t="shared" si="66"/>
        <v>-271.05297783814115</v>
      </c>
      <c r="CH15" s="156">
        <f t="shared" si="66"/>
        <v>-271.05297783814115</v>
      </c>
      <c r="CI15" s="156">
        <f t="shared" si="66"/>
        <v>-271.05297783814115</v>
      </c>
      <c r="CJ15" s="156">
        <f t="shared" si="66"/>
        <v>-271.05297783814115</v>
      </c>
      <c r="CK15" s="156">
        <f t="shared" si="66"/>
        <v>-271.05297783814115</v>
      </c>
      <c r="CL15" s="156">
        <f t="shared" si="66"/>
        <v>-271.05297783814115</v>
      </c>
      <c r="CM15" s="156">
        <f t="shared" si="66"/>
        <v>-271.05297783814115</v>
      </c>
      <c r="CN15" s="156">
        <f t="shared" si="66"/>
        <v>-271.05297783814115</v>
      </c>
      <c r="CO15" s="156">
        <f t="shared" si="66"/>
        <v>-271.05297783814115</v>
      </c>
      <c r="CP15" s="156">
        <f t="shared" si="66"/>
        <v>-271.05297783814115</v>
      </c>
      <c r="CQ15" s="156">
        <f t="shared" si="66"/>
        <v>-271.05297783814115</v>
      </c>
      <c r="CR15" s="156">
        <f t="shared" si="32"/>
        <v>-3252.6357340576928</v>
      </c>
      <c r="CS15" s="156">
        <f t="shared" ref="CS15:DD15" si="67">-SUM(CS6:CS8)*CS11</f>
        <v>-279.18456717328542</v>
      </c>
      <c r="CT15" s="156">
        <f t="shared" si="67"/>
        <v>-279.18456717328542</v>
      </c>
      <c r="CU15" s="156">
        <f t="shared" si="67"/>
        <v>-279.18456717328542</v>
      </c>
      <c r="CV15" s="156">
        <f t="shared" si="67"/>
        <v>-279.18456717328542</v>
      </c>
      <c r="CW15" s="156">
        <f t="shared" si="67"/>
        <v>-279.18456717328542</v>
      </c>
      <c r="CX15" s="156">
        <f t="shared" si="67"/>
        <v>-279.18456717328542</v>
      </c>
      <c r="CY15" s="156">
        <f t="shared" si="67"/>
        <v>-279.18456717328542</v>
      </c>
      <c r="CZ15" s="156">
        <f t="shared" si="67"/>
        <v>-279.18456717328542</v>
      </c>
      <c r="DA15" s="156">
        <f t="shared" si="67"/>
        <v>-279.18456717328542</v>
      </c>
      <c r="DB15" s="156">
        <f t="shared" si="67"/>
        <v>-279.18456717328542</v>
      </c>
      <c r="DC15" s="156">
        <f t="shared" si="67"/>
        <v>-279.18456717328542</v>
      </c>
      <c r="DD15" s="156">
        <f t="shared" si="67"/>
        <v>-279.18456717328542</v>
      </c>
      <c r="DE15" s="156">
        <f t="shared" si="34"/>
        <v>-3350.2148060794248</v>
      </c>
      <c r="DF15" s="156">
        <f t="shared" ref="DF15:DQ15" si="68">-SUM(DF6:DF8)*DF11</f>
        <v>-287.56010418848393</v>
      </c>
      <c r="DG15" s="156">
        <f t="shared" si="68"/>
        <v>-287.56010418848393</v>
      </c>
      <c r="DH15" s="156">
        <f t="shared" si="68"/>
        <v>-287.56010418848393</v>
      </c>
      <c r="DI15" s="156">
        <f t="shared" si="68"/>
        <v>-287.56010418848393</v>
      </c>
      <c r="DJ15" s="156">
        <f t="shared" si="68"/>
        <v>-287.56010418848393</v>
      </c>
      <c r="DK15" s="156">
        <f t="shared" si="68"/>
        <v>-287.56010418848393</v>
      </c>
      <c r="DL15" s="156">
        <f t="shared" si="68"/>
        <v>-287.56010418848393</v>
      </c>
      <c r="DM15" s="156">
        <f t="shared" si="68"/>
        <v>-287.56010418848393</v>
      </c>
      <c r="DN15" s="156">
        <f t="shared" si="68"/>
        <v>-287.56010418848393</v>
      </c>
      <c r="DO15" s="156">
        <f t="shared" si="68"/>
        <v>-287.56010418848393</v>
      </c>
      <c r="DP15" s="156">
        <f t="shared" si="68"/>
        <v>-287.56010418848393</v>
      </c>
      <c r="DQ15" s="156">
        <f t="shared" si="68"/>
        <v>-287.56010418848393</v>
      </c>
      <c r="DR15" s="156">
        <f t="shared" si="36"/>
        <v>-3450.7212502618063</v>
      </c>
      <c r="DS15" s="156">
        <f t="shared" ref="DS15:ED15" si="69">-SUM(DS6:DS8)*DS11</f>
        <v>-296.18690731413847</v>
      </c>
      <c r="DT15" s="156">
        <f t="shared" si="69"/>
        <v>-296.18690731413847</v>
      </c>
      <c r="DU15" s="156">
        <f t="shared" si="69"/>
        <v>-296.18690731413847</v>
      </c>
      <c r="DV15" s="156">
        <f t="shared" si="69"/>
        <v>-296.18690731413847</v>
      </c>
      <c r="DW15" s="156">
        <f t="shared" si="69"/>
        <v>-296.18690731413847</v>
      </c>
      <c r="DX15" s="156">
        <f t="shared" si="69"/>
        <v>-296.18690731413847</v>
      </c>
      <c r="DY15" s="156">
        <f t="shared" si="69"/>
        <v>-296.18690731413847</v>
      </c>
      <c r="DZ15" s="156">
        <f t="shared" si="69"/>
        <v>-296.18690731413847</v>
      </c>
      <c r="EA15" s="156">
        <f t="shared" si="69"/>
        <v>-296.18690731413847</v>
      </c>
      <c r="EB15" s="156">
        <f t="shared" si="69"/>
        <v>-296.18690731413847</v>
      </c>
      <c r="EC15" s="156">
        <f t="shared" si="69"/>
        <v>-296.18690731413847</v>
      </c>
      <c r="ED15" s="156">
        <f t="shared" si="69"/>
        <v>-296.18690731413847</v>
      </c>
      <c r="EE15" s="243">
        <f t="shared" si="38"/>
        <v>-3554.2428877696607</v>
      </c>
      <c r="EF15" s="11"/>
    </row>
    <row r="16" spans="2:168">
      <c r="B16" s="753" t="s">
        <v>77</v>
      </c>
      <c r="C16" s="1098"/>
      <c r="D16" s="1098"/>
      <c r="E16" s="1057" t="e">
        <f>'Inputs &amp; Assumptions'!#REF!</f>
        <v>#REF!</v>
      </c>
      <c r="F16" s="1057">
        <f>SUM(F6:F8)+SUM(F12:F15)</f>
        <v>324386.71778166667</v>
      </c>
      <c r="G16" s="1057">
        <f t="shared" ref="G16:Q16" si="70">SUM(G6:G8)+SUM(G12:G15)</f>
        <v>324386.71778166667</v>
      </c>
      <c r="H16" s="1057">
        <f t="shared" si="70"/>
        <v>324386.71778166667</v>
      </c>
      <c r="I16" s="1057">
        <f t="shared" si="70"/>
        <v>324386.71778166667</v>
      </c>
      <c r="J16" s="1057">
        <f t="shared" si="70"/>
        <v>324386.71778166667</v>
      </c>
      <c r="K16" s="1057">
        <f t="shared" si="70"/>
        <v>324386.71778166667</v>
      </c>
      <c r="L16" s="1057">
        <f t="shared" si="70"/>
        <v>324386.71778166667</v>
      </c>
      <c r="M16" s="1057">
        <f t="shared" si="70"/>
        <v>324386.71778166667</v>
      </c>
      <c r="N16" s="1057">
        <f t="shared" si="70"/>
        <v>324386.71778166667</v>
      </c>
      <c r="O16" s="1057">
        <f t="shared" si="70"/>
        <v>324386.71778166667</v>
      </c>
      <c r="P16" s="1057">
        <f t="shared" si="70"/>
        <v>324386.71778166667</v>
      </c>
      <c r="Q16" s="1057">
        <f t="shared" si="70"/>
        <v>324386.71778166667</v>
      </c>
      <c r="R16" s="1057">
        <f t="shared" ref="R16" si="71">SUM(R12:R15,R6:R8)</f>
        <v>3892640.61338</v>
      </c>
      <c r="S16" s="1057">
        <f>SUM(S6:S8)+SUM(S12:S15)</f>
        <v>385557.10885278333</v>
      </c>
      <c r="T16" s="1057">
        <f t="shared" ref="T16" si="72">SUM(T6:T8)+SUM(T12:T15)</f>
        <v>385557.10885278333</v>
      </c>
      <c r="U16" s="1057">
        <f t="shared" ref="U16" si="73">SUM(U6:U8)+SUM(U12:U15)</f>
        <v>385557.10885278333</v>
      </c>
      <c r="V16" s="1057">
        <f t="shared" ref="V16" si="74">SUM(V6:V8)+SUM(V12:V15)</f>
        <v>385557.10885278333</v>
      </c>
      <c r="W16" s="1057">
        <f t="shared" ref="W16" si="75">SUM(W6:W8)+SUM(W12:W15)</f>
        <v>385557.10885278333</v>
      </c>
      <c r="X16" s="1057">
        <f t="shared" ref="X16" si="76">SUM(X6:X8)+SUM(X12:X15)</f>
        <v>385557.10885278333</v>
      </c>
      <c r="Y16" s="1057">
        <f t="shared" ref="Y16" si="77">SUM(Y6:Y8)+SUM(Y12:Y15)</f>
        <v>385557.10885278333</v>
      </c>
      <c r="Z16" s="1057">
        <f t="shared" ref="Z16" si="78">SUM(Z6:Z8)+SUM(Z12:Z15)</f>
        <v>385557.10885278333</v>
      </c>
      <c r="AA16" s="1057">
        <f t="shared" ref="AA16" si="79">SUM(AA6:AA8)+SUM(AA12:AA15)</f>
        <v>385557.10885278333</v>
      </c>
      <c r="AB16" s="1057">
        <f t="shared" ref="AB16" si="80">SUM(AB6:AB8)+SUM(AB12:AB15)</f>
        <v>385557.10885278333</v>
      </c>
      <c r="AC16" s="1057">
        <f t="shared" ref="AC16" si="81">SUM(AC6:AC8)+SUM(AC12:AC15)</f>
        <v>385557.10885278333</v>
      </c>
      <c r="AD16" s="1057">
        <f t="shared" ref="AD16" si="82">SUM(AD6:AD8)+SUM(AD12:AD15)</f>
        <v>385557.10885278333</v>
      </c>
      <c r="AE16" s="1057">
        <f>SUM(S16:AD16)</f>
        <v>4626685.3062333995</v>
      </c>
      <c r="AF16" s="1057">
        <f>SUM(AF6:AF8)+SUM(AF12:AF15)</f>
        <v>450105.77534216351</v>
      </c>
      <c r="AG16" s="1057">
        <f t="shared" ref="AG16" si="83">SUM(AG6:AG8)+SUM(AG12:AG15)</f>
        <v>450105.77534216351</v>
      </c>
      <c r="AH16" s="1057">
        <f t="shared" ref="AH16" si="84">SUM(AH6:AH8)+SUM(AH12:AH15)</f>
        <v>450105.77534216351</v>
      </c>
      <c r="AI16" s="1057">
        <f t="shared" ref="AI16" si="85">SUM(AI6:AI8)+SUM(AI12:AI15)</f>
        <v>450105.77534216351</v>
      </c>
      <c r="AJ16" s="1057">
        <f t="shared" ref="AJ16" si="86">SUM(AJ6:AJ8)+SUM(AJ12:AJ15)</f>
        <v>450105.77534216351</v>
      </c>
      <c r="AK16" s="1057">
        <f t="shared" ref="AK16" si="87">SUM(AK6:AK8)+SUM(AK12:AK15)</f>
        <v>450105.77534216351</v>
      </c>
      <c r="AL16" s="1057">
        <f t="shared" ref="AL16" si="88">SUM(AL6:AL8)+SUM(AL12:AL15)</f>
        <v>450105.77534216351</v>
      </c>
      <c r="AM16" s="1057">
        <f t="shared" ref="AM16" si="89">SUM(AM6:AM8)+SUM(AM12:AM15)</f>
        <v>450105.77534216351</v>
      </c>
      <c r="AN16" s="1057">
        <f t="shared" ref="AN16" si="90">SUM(AN6:AN8)+SUM(AN12:AN15)</f>
        <v>450105.77534216351</v>
      </c>
      <c r="AO16" s="1057">
        <f t="shared" ref="AO16" si="91">SUM(AO6:AO8)+SUM(AO12:AO15)</f>
        <v>450105.77534216351</v>
      </c>
      <c r="AP16" s="1057">
        <f t="shared" ref="AP16" si="92">SUM(AP6:AP8)+SUM(AP12:AP15)</f>
        <v>450105.77534216351</v>
      </c>
      <c r="AQ16" s="1057">
        <f t="shared" ref="AQ16" si="93">SUM(AQ6:AQ8)+SUM(AQ12:AQ15)</f>
        <v>450105.77534216351</v>
      </c>
      <c r="AR16" s="1057">
        <f>SUM(AF16:AQ16)</f>
        <v>5401269.3041059626</v>
      </c>
      <c r="AS16" s="1057">
        <f>SUM(AS6:AS8)+SUM(AS12:AS15)</f>
        <v>463608.94860242843</v>
      </c>
      <c r="AT16" s="1057">
        <f t="shared" ref="AT16" si="94">SUM(AT6:AT8)+SUM(AT12:AT15)</f>
        <v>463608.94860242843</v>
      </c>
      <c r="AU16" s="1057">
        <f t="shared" ref="AU16" si="95">SUM(AU6:AU8)+SUM(AU12:AU15)</f>
        <v>463608.94860242843</v>
      </c>
      <c r="AV16" s="1057">
        <f t="shared" ref="AV16" si="96">SUM(AV6:AV8)+SUM(AV12:AV15)</f>
        <v>463608.94860242843</v>
      </c>
      <c r="AW16" s="1057">
        <f t="shared" ref="AW16" si="97">SUM(AW6:AW8)+SUM(AW12:AW15)</f>
        <v>463608.94860242843</v>
      </c>
      <c r="AX16" s="1057">
        <f t="shared" ref="AX16" si="98">SUM(AX6:AX8)+SUM(AX12:AX15)</f>
        <v>463608.94860242843</v>
      </c>
      <c r="AY16" s="1057">
        <f t="shared" ref="AY16" si="99">SUM(AY6:AY8)+SUM(AY12:AY15)</f>
        <v>463608.94860242843</v>
      </c>
      <c r="AZ16" s="1057">
        <f t="shared" ref="AZ16" si="100">SUM(AZ6:AZ8)+SUM(AZ12:AZ15)</f>
        <v>463608.94860242843</v>
      </c>
      <c r="BA16" s="1057">
        <f t="shared" ref="BA16" si="101">SUM(BA6:BA8)+SUM(BA12:BA15)</f>
        <v>463608.94860242843</v>
      </c>
      <c r="BB16" s="1057">
        <f t="shared" ref="BB16" si="102">SUM(BB6:BB8)+SUM(BB12:BB15)</f>
        <v>463608.94860242843</v>
      </c>
      <c r="BC16" s="1057">
        <f t="shared" ref="BC16" si="103">SUM(BC6:BC8)+SUM(BC12:BC15)</f>
        <v>463608.94860242843</v>
      </c>
      <c r="BD16" s="1057">
        <f t="shared" ref="BD16" si="104">SUM(BD6:BD8)+SUM(BD12:BD15)</f>
        <v>463608.94860242843</v>
      </c>
      <c r="BE16" s="1057">
        <f>SUM(AS16:BD16)</f>
        <v>5563307.383229143</v>
      </c>
      <c r="BF16" s="1057">
        <f>SUM(BF6:BF8)+SUM(BF12:BF15)</f>
        <v>477517.21706050128</v>
      </c>
      <c r="BG16" s="1057">
        <f t="shared" ref="BG16" si="105">SUM(BG6:BG8)+SUM(BG12:BG15)</f>
        <v>477517.21706050128</v>
      </c>
      <c r="BH16" s="1057">
        <f t="shared" ref="BH16" si="106">SUM(BH6:BH8)+SUM(BH12:BH15)</f>
        <v>477517.21706050128</v>
      </c>
      <c r="BI16" s="1057">
        <f t="shared" ref="BI16:BQ16" si="107">SUM(BI6:BI8)+SUM(BI12:BI15)</f>
        <v>477517.21706050128</v>
      </c>
      <c r="BJ16" s="1057">
        <f t="shared" si="107"/>
        <v>477517.21706050128</v>
      </c>
      <c r="BK16" s="1057">
        <f t="shared" si="107"/>
        <v>477517.21706050128</v>
      </c>
      <c r="BL16" s="1057">
        <f t="shared" si="107"/>
        <v>477517.21706050128</v>
      </c>
      <c r="BM16" s="1057">
        <f t="shared" si="107"/>
        <v>477517.21706050128</v>
      </c>
      <c r="BN16" s="1057">
        <f t="shared" si="107"/>
        <v>477517.21706050128</v>
      </c>
      <c r="BO16" s="1057">
        <f t="shared" si="107"/>
        <v>477517.21706050128</v>
      </c>
      <c r="BP16" s="1057">
        <f t="shared" si="107"/>
        <v>477517.21706050128</v>
      </c>
      <c r="BQ16" s="1057">
        <f t="shared" si="107"/>
        <v>477517.21706050128</v>
      </c>
      <c r="BR16" s="1057">
        <f>SUM(BF16:BQ16)</f>
        <v>5730206.6047260165</v>
      </c>
      <c r="BS16" s="1057">
        <f>SUM(BS6:BS8)+SUM(BS12:BS15)</f>
        <v>491842.7335723163</v>
      </c>
      <c r="BT16" s="1057">
        <f t="shared" ref="BT16" si="108">SUM(BT6:BT8)+SUM(BT12:BT15)</f>
        <v>491842.7335723163</v>
      </c>
      <c r="BU16" s="1057">
        <f t="shared" ref="BU16" si="109">SUM(BU6:BU8)+SUM(BU12:BU15)</f>
        <v>491842.7335723163</v>
      </c>
      <c r="BV16" s="1057">
        <f t="shared" ref="BV16:CD16" si="110">SUM(BV6:BV8)+SUM(BV12:BV15)</f>
        <v>491842.7335723163</v>
      </c>
      <c r="BW16" s="1057">
        <f t="shared" si="110"/>
        <v>491842.7335723163</v>
      </c>
      <c r="BX16" s="1057">
        <f t="shared" si="110"/>
        <v>491842.7335723163</v>
      </c>
      <c r="BY16" s="1057">
        <f t="shared" si="110"/>
        <v>491842.7335723163</v>
      </c>
      <c r="BZ16" s="1057">
        <f t="shared" si="110"/>
        <v>491842.7335723163</v>
      </c>
      <c r="CA16" s="1057">
        <f t="shared" si="110"/>
        <v>491842.7335723163</v>
      </c>
      <c r="CB16" s="1057">
        <f t="shared" si="110"/>
        <v>491842.7335723163</v>
      </c>
      <c r="CC16" s="1057">
        <f t="shared" si="110"/>
        <v>491842.7335723163</v>
      </c>
      <c r="CD16" s="1057">
        <f t="shared" si="110"/>
        <v>491842.7335723163</v>
      </c>
      <c r="CE16" s="1057">
        <f t="shared" si="30"/>
        <v>5902112.8028677953</v>
      </c>
      <c r="CF16" s="1057">
        <f>SUM(CF6:CF8)+SUM(CF12:CF15)</f>
        <v>506598.0155794858</v>
      </c>
      <c r="CG16" s="1057">
        <f t="shared" ref="CG16" si="111">SUM(CG6:CG8)+SUM(CG12:CG15)</f>
        <v>506598.0155794858</v>
      </c>
      <c r="CH16" s="1057">
        <f t="shared" ref="CH16" si="112">SUM(CH6:CH8)+SUM(CH12:CH15)</f>
        <v>506598.0155794858</v>
      </c>
      <c r="CI16" s="1057">
        <f t="shared" ref="CI16:CQ16" si="113">SUM(CI6:CI8)+SUM(CI12:CI15)</f>
        <v>506598.0155794858</v>
      </c>
      <c r="CJ16" s="1057">
        <f t="shared" si="113"/>
        <v>506598.0155794858</v>
      </c>
      <c r="CK16" s="1057">
        <f t="shared" si="113"/>
        <v>506598.0155794858</v>
      </c>
      <c r="CL16" s="1057">
        <f t="shared" si="113"/>
        <v>506598.0155794858</v>
      </c>
      <c r="CM16" s="1057">
        <f t="shared" si="113"/>
        <v>506598.0155794858</v>
      </c>
      <c r="CN16" s="1057">
        <f t="shared" si="113"/>
        <v>506598.0155794858</v>
      </c>
      <c r="CO16" s="1057">
        <f t="shared" si="113"/>
        <v>506598.0155794858</v>
      </c>
      <c r="CP16" s="1057">
        <f t="shared" si="113"/>
        <v>506598.0155794858</v>
      </c>
      <c r="CQ16" s="1057">
        <f t="shared" si="113"/>
        <v>506598.0155794858</v>
      </c>
      <c r="CR16" s="1057">
        <f t="shared" si="32"/>
        <v>6079176.1869538315</v>
      </c>
      <c r="CS16" s="1057">
        <f>SUM(CS6:CS8)+SUM(CS12:CS15)</f>
        <v>521795.95604687044</v>
      </c>
      <c r="CT16" s="1057">
        <f t="shared" ref="CT16" si="114">SUM(CT6:CT8)+SUM(CT12:CT15)</f>
        <v>521795.95604687044</v>
      </c>
      <c r="CU16" s="1057">
        <f t="shared" ref="CU16" si="115">SUM(CU6:CU8)+SUM(CU12:CU15)</f>
        <v>521795.95604687044</v>
      </c>
      <c r="CV16" s="1057">
        <f t="shared" ref="CV16:DD16" si="116">SUM(CV6:CV8)+SUM(CV12:CV15)</f>
        <v>521795.95604687044</v>
      </c>
      <c r="CW16" s="1057">
        <f t="shared" si="116"/>
        <v>521795.95604687044</v>
      </c>
      <c r="CX16" s="1057">
        <f t="shared" si="116"/>
        <v>521795.95604687044</v>
      </c>
      <c r="CY16" s="1057">
        <f t="shared" si="116"/>
        <v>521795.95604687044</v>
      </c>
      <c r="CZ16" s="1057">
        <f t="shared" si="116"/>
        <v>521795.95604687044</v>
      </c>
      <c r="DA16" s="1057">
        <f t="shared" si="116"/>
        <v>521795.95604687044</v>
      </c>
      <c r="DB16" s="1057">
        <f t="shared" si="116"/>
        <v>521795.95604687044</v>
      </c>
      <c r="DC16" s="1057">
        <f t="shared" si="116"/>
        <v>521795.95604687044</v>
      </c>
      <c r="DD16" s="1057">
        <f t="shared" si="116"/>
        <v>521795.95604687044</v>
      </c>
      <c r="DE16" s="1057">
        <f t="shared" si="34"/>
        <v>6261551.4725624435</v>
      </c>
      <c r="DF16" s="1057">
        <f>SUM(DF6:DF8)+SUM(DF12:DF15)</f>
        <v>537449.83472827636</v>
      </c>
      <c r="DG16" s="1057">
        <f t="shared" ref="DG16" si="117">SUM(DG6:DG8)+SUM(DG12:DG15)</f>
        <v>537449.83472827636</v>
      </c>
      <c r="DH16" s="1057">
        <f t="shared" ref="DH16" si="118">SUM(DH6:DH8)+SUM(DH12:DH15)</f>
        <v>537449.83472827636</v>
      </c>
      <c r="DI16" s="1057">
        <f t="shared" ref="DI16:DQ16" si="119">SUM(DI6:DI8)+SUM(DI12:DI15)</f>
        <v>537449.83472827636</v>
      </c>
      <c r="DJ16" s="1057">
        <f t="shared" si="119"/>
        <v>537449.83472827636</v>
      </c>
      <c r="DK16" s="1057">
        <f t="shared" si="119"/>
        <v>537449.83472827636</v>
      </c>
      <c r="DL16" s="1057">
        <f t="shared" si="119"/>
        <v>537449.83472827636</v>
      </c>
      <c r="DM16" s="1057">
        <f t="shared" si="119"/>
        <v>537449.83472827636</v>
      </c>
      <c r="DN16" s="1057">
        <f t="shared" si="119"/>
        <v>537449.83472827636</v>
      </c>
      <c r="DO16" s="1057">
        <f t="shared" si="119"/>
        <v>537449.83472827636</v>
      </c>
      <c r="DP16" s="1057">
        <f t="shared" si="119"/>
        <v>537449.83472827636</v>
      </c>
      <c r="DQ16" s="1057">
        <f t="shared" si="119"/>
        <v>537449.83472827636</v>
      </c>
      <c r="DR16" s="1057">
        <f>SUM(DF16:DQ16)</f>
        <v>6449398.0167393163</v>
      </c>
      <c r="DS16" s="1057">
        <f>SUM(DS6:DS8)+SUM(DS12:DS15)</f>
        <v>553573.32977012487</v>
      </c>
      <c r="DT16" s="1057">
        <f t="shared" ref="DT16" si="120">SUM(DT6:DT8)+SUM(DT12:DT15)</f>
        <v>553573.32977012487</v>
      </c>
      <c r="DU16" s="1057">
        <f t="shared" ref="DU16" si="121">SUM(DU6:DU8)+SUM(DU12:DU15)</f>
        <v>553573.32977012487</v>
      </c>
      <c r="DV16" s="1057">
        <f t="shared" ref="DV16:ED16" si="122">SUM(DV6:DV8)+SUM(DV12:DV15)</f>
        <v>553573.32977012487</v>
      </c>
      <c r="DW16" s="1057">
        <f t="shared" si="122"/>
        <v>553573.32977012487</v>
      </c>
      <c r="DX16" s="1057">
        <f t="shared" si="122"/>
        <v>553573.32977012487</v>
      </c>
      <c r="DY16" s="1057">
        <f t="shared" si="122"/>
        <v>553573.32977012487</v>
      </c>
      <c r="DZ16" s="1057">
        <f t="shared" si="122"/>
        <v>553573.32977012487</v>
      </c>
      <c r="EA16" s="1057">
        <f t="shared" si="122"/>
        <v>553573.32977012487</v>
      </c>
      <c r="EB16" s="1057">
        <f t="shared" si="122"/>
        <v>553573.32977012487</v>
      </c>
      <c r="EC16" s="1057">
        <f t="shared" si="122"/>
        <v>553573.32977012487</v>
      </c>
      <c r="ED16" s="1057">
        <f t="shared" si="122"/>
        <v>553573.32977012487</v>
      </c>
      <c r="EE16" s="754">
        <f>SUM(DS16:ED16)</f>
        <v>6642879.957241497</v>
      </c>
      <c r="EF16" s="11"/>
    </row>
    <row r="17" spans="2:139">
      <c r="B17" s="729"/>
      <c r="C17" s="13"/>
      <c r="D17" s="1099" t="s">
        <v>301</v>
      </c>
      <c r="E17" s="755"/>
      <c r="F17" s="11"/>
      <c r="G17" s="11"/>
      <c r="H17" s="11"/>
      <c r="I17" s="11"/>
      <c r="J17" s="11"/>
      <c r="K17" s="11"/>
      <c r="L17" s="6"/>
      <c r="R17" s="331"/>
      <c r="S17" s="331"/>
      <c r="T17" s="331"/>
      <c r="U17" s="331"/>
      <c r="V17" s="331"/>
      <c r="W17" s="331"/>
      <c r="X17" s="331"/>
      <c r="Y17" s="331"/>
      <c r="Z17" s="331"/>
      <c r="AA17" s="331"/>
      <c r="AB17" s="331"/>
      <c r="AC17" s="331"/>
      <c r="AD17" s="331"/>
      <c r="AE17" s="331">
        <f>(AE16-R16)/R16</f>
        <v>0.18857242827151843</v>
      </c>
      <c r="AF17" s="331"/>
      <c r="AG17" s="331"/>
      <c r="AH17" s="331"/>
      <c r="AI17" s="331"/>
      <c r="AJ17" s="331"/>
      <c r="AK17" s="331"/>
      <c r="AL17" s="331"/>
      <c r="AM17" s="331"/>
      <c r="AN17" s="331"/>
      <c r="AO17" s="331"/>
      <c r="AP17" s="331"/>
      <c r="AQ17" s="331"/>
      <c r="AR17" s="331">
        <f>(AR16-AE16)/AE16</f>
        <v>0.16741661613098874</v>
      </c>
      <c r="AS17" s="331">
        <f t="shared" ref="AS17:DD17" si="123">(AS16-AF16)/AF16</f>
        <v>3.000000000000002E-2</v>
      </c>
      <c r="AT17" s="331">
        <f t="shared" si="123"/>
        <v>3.000000000000002E-2</v>
      </c>
      <c r="AU17" s="331">
        <f t="shared" si="123"/>
        <v>3.000000000000002E-2</v>
      </c>
      <c r="AV17" s="331">
        <f t="shared" si="123"/>
        <v>3.000000000000002E-2</v>
      </c>
      <c r="AW17" s="331">
        <f t="shared" si="123"/>
        <v>3.000000000000002E-2</v>
      </c>
      <c r="AX17" s="331">
        <f t="shared" si="123"/>
        <v>3.000000000000002E-2</v>
      </c>
      <c r="AY17" s="331">
        <f>(AY16-AL16)/AL16</f>
        <v>3.000000000000002E-2</v>
      </c>
      <c r="AZ17" s="331">
        <f t="shared" si="123"/>
        <v>3.000000000000002E-2</v>
      </c>
      <c r="BA17" s="331">
        <f t="shared" si="123"/>
        <v>3.000000000000002E-2</v>
      </c>
      <c r="BB17" s="331">
        <f t="shared" si="123"/>
        <v>3.000000000000002E-2</v>
      </c>
      <c r="BC17" s="331">
        <f t="shared" si="123"/>
        <v>3.000000000000002E-2</v>
      </c>
      <c r="BD17" s="331">
        <f t="shared" si="123"/>
        <v>3.000000000000002E-2</v>
      </c>
      <c r="BE17" s="331">
        <f>(BE16-AR16)/AR16</f>
        <v>3.0000000000000273E-2</v>
      </c>
      <c r="BF17" s="331">
        <f t="shared" si="123"/>
        <v>0.03</v>
      </c>
      <c r="BG17" s="331">
        <f t="shared" si="123"/>
        <v>0.03</v>
      </c>
      <c r="BH17" s="331">
        <f t="shared" si="123"/>
        <v>0.03</v>
      </c>
      <c r="BI17" s="331">
        <f t="shared" si="123"/>
        <v>0.03</v>
      </c>
      <c r="BJ17" s="331">
        <f t="shared" si="123"/>
        <v>0.03</v>
      </c>
      <c r="BK17" s="331">
        <f t="shared" si="123"/>
        <v>0.03</v>
      </c>
      <c r="BL17" s="331">
        <f t="shared" si="123"/>
        <v>0.03</v>
      </c>
      <c r="BM17" s="331">
        <f t="shared" si="123"/>
        <v>0.03</v>
      </c>
      <c r="BN17" s="331">
        <f t="shared" si="123"/>
        <v>0.03</v>
      </c>
      <c r="BO17" s="331">
        <f t="shared" si="123"/>
        <v>0.03</v>
      </c>
      <c r="BP17" s="331">
        <f t="shared" si="123"/>
        <v>0.03</v>
      </c>
      <c r="BQ17" s="331">
        <f t="shared" si="123"/>
        <v>0.03</v>
      </c>
      <c r="BR17" s="331">
        <f t="shared" si="123"/>
        <v>2.9999999999999864E-2</v>
      </c>
      <c r="BS17" s="331">
        <f t="shared" si="123"/>
        <v>2.9999999999999957E-2</v>
      </c>
      <c r="BT17" s="331">
        <f t="shared" si="123"/>
        <v>2.9999999999999957E-2</v>
      </c>
      <c r="BU17" s="331">
        <f t="shared" si="123"/>
        <v>2.9999999999999957E-2</v>
      </c>
      <c r="BV17" s="331">
        <f t="shared" si="123"/>
        <v>2.9999999999999957E-2</v>
      </c>
      <c r="BW17" s="331">
        <f t="shared" si="123"/>
        <v>2.9999999999999957E-2</v>
      </c>
      <c r="BX17" s="331">
        <f t="shared" si="123"/>
        <v>2.9999999999999957E-2</v>
      </c>
      <c r="BY17" s="331">
        <f t="shared" si="123"/>
        <v>2.9999999999999957E-2</v>
      </c>
      <c r="BZ17" s="331">
        <f t="shared" si="123"/>
        <v>2.9999999999999957E-2</v>
      </c>
      <c r="CA17" s="331">
        <f t="shared" si="123"/>
        <v>2.9999999999999957E-2</v>
      </c>
      <c r="CB17" s="331">
        <f t="shared" si="123"/>
        <v>2.9999999999999957E-2</v>
      </c>
      <c r="CC17" s="331">
        <f t="shared" si="123"/>
        <v>2.9999999999999957E-2</v>
      </c>
      <c r="CD17" s="331">
        <f t="shared" si="123"/>
        <v>2.9999999999999957E-2</v>
      </c>
      <c r="CE17" s="331">
        <f t="shared" si="123"/>
        <v>2.9999999999999707E-2</v>
      </c>
      <c r="CF17" s="331">
        <f t="shared" si="123"/>
        <v>3.0000000000000027E-2</v>
      </c>
      <c r="CG17" s="331">
        <f t="shared" si="123"/>
        <v>3.0000000000000027E-2</v>
      </c>
      <c r="CH17" s="331">
        <f t="shared" si="123"/>
        <v>3.0000000000000027E-2</v>
      </c>
      <c r="CI17" s="331">
        <f t="shared" si="123"/>
        <v>3.0000000000000027E-2</v>
      </c>
      <c r="CJ17" s="331">
        <f t="shared" si="123"/>
        <v>3.0000000000000027E-2</v>
      </c>
      <c r="CK17" s="331">
        <f t="shared" si="123"/>
        <v>3.0000000000000027E-2</v>
      </c>
      <c r="CL17" s="331">
        <f t="shared" si="123"/>
        <v>3.0000000000000027E-2</v>
      </c>
      <c r="CM17" s="331">
        <f t="shared" si="123"/>
        <v>3.0000000000000027E-2</v>
      </c>
      <c r="CN17" s="331">
        <f t="shared" si="123"/>
        <v>3.0000000000000027E-2</v>
      </c>
      <c r="CO17" s="331">
        <f t="shared" si="123"/>
        <v>3.0000000000000027E-2</v>
      </c>
      <c r="CP17" s="331">
        <f t="shared" si="123"/>
        <v>3.0000000000000027E-2</v>
      </c>
      <c r="CQ17" s="331">
        <f t="shared" si="123"/>
        <v>3.0000000000000027E-2</v>
      </c>
      <c r="CR17" s="331">
        <f t="shared" si="123"/>
        <v>3.0000000000000384E-2</v>
      </c>
      <c r="CS17" s="331">
        <f t="shared" si="123"/>
        <v>3.0000000000000138E-2</v>
      </c>
      <c r="CT17" s="331">
        <f t="shared" si="123"/>
        <v>3.0000000000000138E-2</v>
      </c>
      <c r="CU17" s="331">
        <f t="shared" si="123"/>
        <v>3.0000000000000138E-2</v>
      </c>
      <c r="CV17" s="331">
        <f t="shared" si="123"/>
        <v>3.0000000000000138E-2</v>
      </c>
      <c r="CW17" s="331">
        <f t="shared" si="123"/>
        <v>3.0000000000000138E-2</v>
      </c>
      <c r="CX17" s="331">
        <f t="shared" si="123"/>
        <v>3.0000000000000138E-2</v>
      </c>
      <c r="CY17" s="331">
        <f t="shared" si="123"/>
        <v>3.0000000000000138E-2</v>
      </c>
      <c r="CZ17" s="331">
        <f t="shared" si="123"/>
        <v>3.0000000000000138E-2</v>
      </c>
      <c r="DA17" s="331">
        <f t="shared" si="123"/>
        <v>3.0000000000000138E-2</v>
      </c>
      <c r="DB17" s="331">
        <f t="shared" si="123"/>
        <v>3.0000000000000138E-2</v>
      </c>
      <c r="DC17" s="331">
        <f t="shared" si="123"/>
        <v>3.0000000000000138E-2</v>
      </c>
      <c r="DD17" s="331">
        <f t="shared" si="123"/>
        <v>3.0000000000000138E-2</v>
      </c>
      <c r="DE17" s="331">
        <f t="shared" ref="DE17:ED17" si="124">(DE16-CR16)/CR16</f>
        <v>2.9999999999999517E-2</v>
      </c>
      <c r="DF17" s="331">
        <f t="shared" si="124"/>
        <v>2.9999999999999617E-2</v>
      </c>
      <c r="DG17" s="331">
        <f t="shared" si="124"/>
        <v>2.9999999999999617E-2</v>
      </c>
      <c r="DH17" s="331">
        <f t="shared" si="124"/>
        <v>2.9999999999999617E-2</v>
      </c>
      <c r="DI17" s="331">
        <f t="shared" si="124"/>
        <v>2.9999999999999617E-2</v>
      </c>
      <c r="DJ17" s="331">
        <f t="shared" si="124"/>
        <v>2.9999999999999617E-2</v>
      </c>
      <c r="DK17" s="331">
        <f t="shared" si="124"/>
        <v>2.9999999999999617E-2</v>
      </c>
      <c r="DL17" s="331">
        <f t="shared" si="124"/>
        <v>2.9999999999999617E-2</v>
      </c>
      <c r="DM17" s="331">
        <f t="shared" si="124"/>
        <v>2.9999999999999617E-2</v>
      </c>
      <c r="DN17" s="331">
        <f t="shared" si="124"/>
        <v>2.9999999999999617E-2</v>
      </c>
      <c r="DO17" s="331">
        <f t="shared" si="124"/>
        <v>2.9999999999999617E-2</v>
      </c>
      <c r="DP17" s="331">
        <f t="shared" si="124"/>
        <v>2.9999999999999617E-2</v>
      </c>
      <c r="DQ17" s="331">
        <f t="shared" si="124"/>
        <v>2.9999999999999617E-2</v>
      </c>
      <c r="DR17" s="331">
        <f t="shared" si="124"/>
        <v>2.9999999999999923E-2</v>
      </c>
      <c r="DS17" s="331">
        <f t="shared" si="124"/>
        <v>3.0000000000000408E-2</v>
      </c>
      <c r="DT17" s="331">
        <f t="shared" si="124"/>
        <v>3.0000000000000408E-2</v>
      </c>
      <c r="DU17" s="331">
        <f t="shared" si="124"/>
        <v>3.0000000000000408E-2</v>
      </c>
      <c r="DV17" s="331">
        <f t="shared" si="124"/>
        <v>3.0000000000000408E-2</v>
      </c>
      <c r="DW17" s="331">
        <f t="shared" si="124"/>
        <v>3.0000000000000408E-2</v>
      </c>
      <c r="DX17" s="331">
        <f t="shared" si="124"/>
        <v>3.0000000000000408E-2</v>
      </c>
      <c r="DY17" s="331">
        <f t="shared" si="124"/>
        <v>3.0000000000000408E-2</v>
      </c>
      <c r="DZ17" s="331">
        <f t="shared" si="124"/>
        <v>3.0000000000000408E-2</v>
      </c>
      <c r="EA17" s="331">
        <f t="shared" si="124"/>
        <v>3.0000000000000408E-2</v>
      </c>
      <c r="EB17" s="331">
        <f t="shared" si="124"/>
        <v>3.0000000000000408E-2</v>
      </c>
      <c r="EC17" s="331">
        <f t="shared" si="124"/>
        <v>3.0000000000000408E-2</v>
      </c>
      <c r="ED17" s="331">
        <f t="shared" si="124"/>
        <v>3.0000000000000408E-2</v>
      </c>
      <c r="EE17" s="756">
        <f>(EE16-DR16)/DR16</f>
        <v>3.000000000000019E-2</v>
      </c>
      <c r="EF17" s="11"/>
    </row>
    <row r="18" spans="2:139">
      <c r="B18" s="745" t="s">
        <v>302</v>
      </c>
      <c r="C18" s="1097"/>
      <c r="D18" s="1097"/>
      <c r="E18" s="1100"/>
      <c r="F18" s="1058"/>
      <c r="G18" s="1058"/>
      <c r="H18" s="1059"/>
      <c r="I18" s="1059"/>
      <c r="J18" s="1059"/>
      <c r="K18" s="1059"/>
      <c r="L18" s="1060"/>
      <c r="M18" s="1056"/>
      <c r="N18" s="1056"/>
      <c r="O18" s="1056"/>
      <c r="P18" s="1056"/>
      <c r="Q18" s="1056"/>
      <c r="R18" s="1056"/>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1056"/>
      <c r="AS18" s="1056"/>
      <c r="AT18" s="1056"/>
      <c r="AU18" s="1056"/>
      <c r="AV18" s="1056"/>
      <c r="AW18" s="1056"/>
      <c r="AX18" s="1056"/>
      <c r="AY18" s="1056"/>
      <c r="AZ18" s="1056"/>
      <c r="BA18" s="1056"/>
      <c r="BB18" s="1056"/>
      <c r="BC18" s="1056"/>
      <c r="BD18" s="1056"/>
      <c r="BE18" s="1056"/>
      <c r="BF18" s="1056"/>
      <c r="BG18" s="1056"/>
      <c r="BH18" s="1056"/>
      <c r="BI18" s="1056"/>
      <c r="BJ18" s="1056"/>
      <c r="BK18" s="1056"/>
      <c r="BL18" s="1056"/>
      <c r="BM18" s="1056"/>
      <c r="BN18" s="1056"/>
      <c r="BO18" s="1056"/>
      <c r="BP18" s="1056"/>
      <c r="BQ18" s="1056"/>
      <c r="BR18" s="1056"/>
      <c r="BS18" s="1056"/>
      <c r="BT18" s="1056"/>
      <c r="BU18" s="1056"/>
      <c r="BV18" s="1056"/>
      <c r="BW18" s="1056"/>
      <c r="BX18" s="1056"/>
      <c r="BY18" s="1056"/>
      <c r="BZ18" s="1056"/>
      <c r="CA18" s="1056"/>
      <c r="CB18" s="1056"/>
      <c r="CC18" s="1056"/>
      <c r="CD18" s="1056"/>
      <c r="CE18" s="1056"/>
      <c r="CF18" s="1056"/>
      <c r="CG18" s="1056"/>
      <c r="CH18" s="1056"/>
      <c r="CI18" s="1056"/>
      <c r="CJ18" s="1056"/>
      <c r="CK18" s="1056"/>
      <c r="CL18" s="1056"/>
      <c r="CM18" s="1056"/>
      <c r="CN18" s="1056"/>
      <c r="CO18" s="1056"/>
      <c r="CP18" s="1056"/>
      <c r="CQ18" s="1056"/>
      <c r="CR18" s="1056"/>
      <c r="CS18" s="1056"/>
      <c r="CT18" s="1056"/>
      <c r="CU18" s="1056"/>
      <c r="CV18" s="1056"/>
      <c r="CW18" s="1056"/>
      <c r="CX18" s="1056"/>
      <c r="CY18" s="1056"/>
      <c r="CZ18" s="1056"/>
      <c r="DA18" s="1056"/>
      <c r="DB18" s="1056"/>
      <c r="DC18" s="1056"/>
      <c r="DD18" s="1056"/>
      <c r="DE18" s="1056"/>
      <c r="DF18" s="1056"/>
      <c r="DG18" s="1056"/>
      <c r="DH18" s="1056"/>
      <c r="DI18" s="1056"/>
      <c r="DJ18" s="1056"/>
      <c r="DK18" s="1056"/>
      <c r="DL18" s="1056"/>
      <c r="DM18" s="1056"/>
      <c r="DN18" s="1056"/>
      <c r="DO18" s="1056"/>
      <c r="DP18" s="1056"/>
      <c r="DQ18" s="1056"/>
      <c r="DR18" s="1056"/>
      <c r="DS18" s="1056"/>
      <c r="DT18" s="1056"/>
      <c r="DU18" s="1056"/>
      <c r="DV18" s="1056"/>
      <c r="DW18" s="1056"/>
      <c r="DX18" s="1056"/>
      <c r="DY18" s="1056"/>
      <c r="DZ18" s="1056"/>
      <c r="EA18" s="1056"/>
      <c r="EB18" s="1056"/>
      <c r="EC18" s="1056"/>
      <c r="ED18" s="1059"/>
      <c r="EE18" s="243"/>
      <c r="EF18" s="11"/>
    </row>
    <row r="19" spans="2:139">
      <c r="B19" s="161" t="str">
        <f>'Inputs &amp; Assumptions'!$B$28</f>
        <v>Payroll</v>
      </c>
      <c r="E19" s="12" t="e">
        <f>'Inputs &amp; Assumptions'!#REF!</f>
        <v>#REF!</v>
      </c>
      <c r="F19" s="12">
        <f>'Inputs &amp; Assumptions'!F28/12</f>
        <v>24916.666666666668</v>
      </c>
      <c r="G19" s="12">
        <f>F19</f>
        <v>24916.666666666668</v>
      </c>
      <c r="H19" s="12">
        <f t="shared" ref="H19:Q19" si="125">G19</f>
        <v>24916.666666666668</v>
      </c>
      <c r="I19" s="12">
        <f t="shared" si="125"/>
        <v>24916.666666666668</v>
      </c>
      <c r="J19" s="12">
        <f t="shared" si="125"/>
        <v>24916.666666666668</v>
      </c>
      <c r="K19" s="12">
        <f t="shared" si="125"/>
        <v>24916.666666666668</v>
      </c>
      <c r="L19" s="12">
        <f t="shared" si="125"/>
        <v>24916.666666666668</v>
      </c>
      <c r="M19" s="12">
        <f t="shared" si="125"/>
        <v>24916.666666666668</v>
      </c>
      <c r="N19" s="12">
        <f t="shared" si="125"/>
        <v>24916.666666666668</v>
      </c>
      <c r="O19" s="12">
        <f t="shared" si="125"/>
        <v>24916.666666666668</v>
      </c>
      <c r="P19" s="12">
        <f t="shared" si="125"/>
        <v>24916.666666666668</v>
      </c>
      <c r="Q19" s="12">
        <f t="shared" si="125"/>
        <v>24916.666666666668</v>
      </c>
      <c r="R19" s="12">
        <f>SUM(F19:Q19)</f>
        <v>299000</v>
      </c>
      <c r="S19" s="12">
        <f>Q19*(1+'Inputs &amp; Assumptions'!$V$75)</f>
        <v>25664.166666666668</v>
      </c>
      <c r="T19" s="12">
        <f>S19</f>
        <v>25664.166666666668</v>
      </c>
      <c r="U19" s="12">
        <f t="shared" ref="U19:AD19" si="126">T19</f>
        <v>25664.166666666668</v>
      </c>
      <c r="V19" s="12">
        <f t="shared" si="126"/>
        <v>25664.166666666668</v>
      </c>
      <c r="W19" s="12">
        <f t="shared" si="126"/>
        <v>25664.166666666668</v>
      </c>
      <c r="X19" s="12">
        <f t="shared" si="126"/>
        <v>25664.166666666668</v>
      </c>
      <c r="Y19" s="12">
        <f t="shared" si="126"/>
        <v>25664.166666666668</v>
      </c>
      <c r="Z19" s="12">
        <f t="shared" si="126"/>
        <v>25664.166666666668</v>
      </c>
      <c r="AA19" s="12">
        <f t="shared" si="126"/>
        <v>25664.166666666668</v>
      </c>
      <c r="AB19" s="12">
        <f t="shared" si="126"/>
        <v>25664.166666666668</v>
      </c>
      <c r="AC19" s="12">
        <f t="shared" si="126"/>
        <v>25664.166666666668</v>
      </c>
      <c r="AD19" s="12">
        <f t="shared" si="126"/>
        <v>25664.166666666668</v>
      </c>
      <c r="AE19" s="12">
        <f t="shared" ref="AE19:AE36" si="127">SUM(S19:AD19)</f>
        <v>307970</v>
      </c>
      <c r="AF19" s="12">
        <f>AD19*(1+'Inputs &amp; Assumptions'!$V$76)</f>
        <v>26434.091666666667</v>
      </c>
      <c r="AG19" s="12">
        <f>AF19</f>
        <v>26434.091666666667</v>
      </c>
      <c r="AH19" s="12">
        <f t="shared" ref="AH19:AQ19" si="128">AG19</f>
        <v>26434.091666666667</v>
      </c>
      <c r="AI19" s="12">
        <f t="shared" si="128"/>
        <v>26434.091666666667</v>
      </c>
      <c r="AJ19" s="12">
        <f t="shared" si="128"/>
        <v>26434.091666666667</v>
      </c>
      <c r="AK19" s="12">
        <f t="shared" si="128"/>
        <v>26434.091666666667</v>
      </c>
      <c r="AL19" s="12">
        <f t="shared" si="128"/>
        <v>26434.091666666667</v>
      </c>
      <c r="AM19" s="12">
        <f t="shared" si="128"/>
        <v>26434.091666666667</v>
      </c>
      <c r="AN19" s="12">
        <f t="shared" si="128"/>
        <v>26434.091666666667</v>
      </c>
      <c r="AO19" s="12">
        <f t="shared" si="128"/>
        <v>26434.091666666667</v>
      </c>
      <c r="AP19" s="12">
        <f t="shared" si="128"/>
        <v>26434.091666666667</v>
      </c>
      <c r="AQ19" s="12">
        <f t="shared" si="128"/>
        <v>26434.091666666667</v>
      </c>
      <c r="AR19" s="12">
        <f t="shared" si="24"/>
        <v>317209.10000000003</v>
      </c>
      <c r="AS19" s="12">
        <f>AQ19*(1+'Inputs &amp; Assumptions'!$V$77)</f>
        <v>27227.114416666667</v>
      </c>
      <c r="AT19" s="12">
        <f>AS19</f>
        <v>27227.114416666667</v>
      </c>
      <c r="AU19" s="12">
        <f t="shared" ref="AU19:BD19" si="129">AT19</f>
        <v>27227.114416666667</v>
      </c>
      <c r="AV19" s="12">
        <f t="shared" si="129"/>
        <v>27227.114416666667</v>
      </c>
      <c r="AW19" s="12">
        <f t="shared" si="129"/>
        <v>27227.114416666667</v>
      </c>
      <c r="AX19" s="12">
        <f t="shared" si="129"/>
        <v>27227.114416666667</v>
      </c>
      <c r="AY19" s="12">
        <f t="shared" si="129"/>
        <v>27227.114416666667</v>
      </c>
      <c r="AZ19" s="12">
        <f t="shared" si="129"/>
        <v>27227.114416666667</v>
      </c>
      <c r="BA19" s="12">
        <f t="shared" si="129"/>
        <v>27227.114416666667</v>
      </c>
      <c r="BB19" s="12">
        <f t="shared" si="129"/>
        <v>27227.114416666667</v>
      </c>
      <c r="BC19" s="12">
        <f t="shared" si="129"/>
        <v>27227.114416666667</v>
      </c>
      <c r="BD19" s="12">
        <f t="shared" si="129"/>
        <v>27227.114416666667</v>
      </c>
      <c r="BE19" s="12">
        <f t="shared" si="26"/>
        <v>326725.37300000008</v>
      </c>
      <c r="BF19" s="12">
        <f>BD19*(1+'Inputs &amp; Assumptions'!$V$78)</f>
        <v>28043.927849166666</v>
      </c>
      <c r="BG19" s="12">
        <f>BF19</f>
        <v>28043.927849166666</v>
      </c>
      <c r="BH19" s="12">
        <f t="shared" ref="BH19:BQ19" si="130">BG19</f>
        <v>28043.927849166666</v>
      </c>
      <c r="BI19" s="12">
        <f t="shared" si="130"/>
        <v>28043.927849166666</v>
      </c>
      <c r="BJ19" s="12">
        <f t="shared" si="130"/>
        <v>28043.927849166666</v>
      </c>
      <c r="BK19" s="12">
        <f t="shared" si="130"/>
        <v>28043.927849166666</v>
      </c>
      <c r="BL19" s="12">
        <f t="shared" si="130"/>
        <v>28043.927849166666</v>
      </c>
      <c r="BM19" s="12">
        <f t="shared" si="130"/>
        <v>28043.927849166666</v>
      </c>
      <c r="BN19" s="12">
        <f t="shared" si="130"/>
        <v>28043.927849166666</v>
      </c>
      <c r="BO19" s="12">
        <f t="shared" si="130"/>
        <v>28043.927849166666</v>
      </c>
      <c r="BP19" s="12">
        <f t="shared" si="130"/>
        <v>28043.927849166666</v>
      </c>
      <c r="BQ19" s="12">
        <f t="shared" si="130"/>
        <v>28043.927849166666</v>
      </c>
      <c r="BR19" s="12">
        <f t="shared" si="28"/>
        <v>336527.13419000007</v>
      </c>
      <c r="BS19" s="12">
        <f>BQ19*(1+'Inputs &amp; Assumptions'!$V$78)</f>
        <v>28885.245684641668</v>
      </c>
      <c r="BT19" s="12">
        <f>BS19</f>
        <v>28885.245684641668</v>
      </c>
      <c r="BU19" s="12">
        <f t="shared" ref="BU19:CD19" si="131">BT19</f>
        <v>28885.245684641668</v>
      </c>
      <c r="BV19" s="12">
        <f t="shared" si="131"/>
        <v>28885.245684641668</v>
      </c>
      <c r="BW19" s="12">
        <f t="shared" si="131"/>
        <v>28885.245684641668</v>
      </c>
      <c r="BX19" s="12">
        <f t="shared" si="131"/>
        <v>28885.245684641668</v>
      </c>
      <c r="BY19" s="12">
        <f t="shared" si="131"/>
        <v>28885.245684641668</v>
      </c>
      <c r="BZ19" s="12">
        <f t="shared" si="131"/>
        <v>28885.245684641668</v>
      </c>
      <c r="CA19" s="12">
        <f t="shared" si="131"/>
        <v>28885.245684641668</v>
      </c>
      <c r="CB19" s="12">
        <f t="shared" si="131"/>
        <v>28885.245684641668</v>
      </c>
      <c r="CC19" s="12">
        <f t="shared" si="131"/>
        <v>28885.245684641668</v>
      </c>
      <c r="CD19" s="12">
        <f t="shared" si="131"/>
        <v>28885.245684641668</v>
      </c>
      <c r="CE19" s="12">
        <f t="shared" si="30"/>
        <v>346622.94821569999</v>
      </c>
      <c r="CF19" s="12">
        <f>CD19*(1+'Inputs &amp; Assumptions'!$V$78)</f>
        <v>29751.803055180921</v>
      </c>
      <c r="CG19" s="12">
        <f>CF19</f>
        <v>29751.803055180921</v>
      </c>
      <c r="CH19" s="12">
        <f t="shared" ref="CH19:CQ19" si="132">CG19</f>
        <v>29751.803055180921</v>
      </c>
      <c r="CI19" s="12">
        <f t="shared" si="132"/>
        <v>29751.803055180921</v>
      </c>
      <c r="CJ19" s="12">
        <f t="shared" si="132"/>
        <v>29751.803055180921</v>
      </c>
      <c r="CK19" s="12">
        <f t="shared" si="132"/>
        <v>29751.803055180921</v>
      </c>
      <c r="CL19" s="12">
        <f t="shared" si="132"/>
        <v>29751.803055180921</v>
      </c>
      <c r="CM19" s="12">
        <f t="shared" si="132"/>
        <v>29751.803055180921</v>
      </c>
      <c r="CN19" s="12">
        <f t="shared" si="132"/>
        <v>29751.803055180921</v>
      </c>
      <c r="CO19" s="12">
        <f t="shared" si="132"/>
        <v>29751.803055180921</v>
      </c>
      <c r="CP19" s="12">
        <f t="shared" si="132"/>
        <v>29751.803055180921</v>
      </c>
      <c r="CQ19" s="12">
        <f t="shared" si="132"/>
        <v>29751.803055180921</v>
      </c>
      <c r="CR19" s="12">
        <f t="shared" si="32"/>
        <v>357021.63666217116</v>
      </c>
      <c r="CS19" s="12">
        <f>CQ19*(1+'Inputs &amp; Assumptions'!$V$78)</f>
        <v>30644.357146836348</v>
      </c>
      <c r="CT19" s="12">
        <f>CS19</f>
        <v>30644.357146836348</v>
      </c>
      <c r="CU19" s="12">
        <f t="shared" ref="CU19:DD19" si="133">CT19</f>
        <v>30644.357146836348</v>
      </c>
      <c r="CV19" s="12">
        <f t="shared" si="133"/>
        <v>30644.357146836348</v>
      </c>
      <c r="CW19" s="12">
        <f t="shared" si="133"/>
        <v>30644.357146836348</v>
      </c>
      <c r="CX19" s="12">
        <f t="shared" si="133"/>
        <v>30644.357146836348</v>
      </c>
      <c r="CY19" s="12">
        <f t="shared" si="133"/>
        <v>30644.357146836348</v>
      </c>
      <c r="CZ19" s="12">
        <f t="shared" si="133"/>
        <v>30644.357146836348</v>
      </c>
      <c r="DA19" s="12">
        <f t="shared" si="133"/>
        <v>30644.357146836348</v>
      </c>
      <c r="DB19" s="12">
        <f t="shared" si="133"/>
        <v>30644.357146836348</v>
      </c>
      <c r="DC19" s="12">
        <f t="shared" si="133"/>
        <v>30644.357146836348</v>
      </c>
      <c r="DD19" s="12">
        <f t="shared" si="133"/>
        <v>30644.357146836348</v>
      </c>
      <c r="DE19" s="12">
        <f t="shared" si="34"/>
        <v>367732.28576203616</v>
      </c>
      <c r="DF19" s="12">
        <f>DD19*(1+'Inputs &amp; Assumptions'!$V$78)</f>
        <v>31563.68786124144</v>
      </c>
      <c r="DG19" s="12">
        <f>DF19</f>
        <v>31563.68786124144</v>
      </c>
      <c r="DH19" s="12">
        <f t="shared" ref="DH19:DQ19" si="134">DG19</f>
        <v>31563.68786124144</v>
      </c>
      <c r="DI19" s="12">
        <f t="shared" si="134"/>
        <v>31563.68786124144</v>
      </c>
      <c r="DJ19" s="12">
        <f t="shared" si="134"/>
        <v>31563.68786124144</v>
      </c>
      <c r="DK19" s="12">
        <f t="shared" si="134"/>
        <v>31563.68786124144</v>
      </c>
      <c r="DL19" s="12">
        <f t="shared" si="134"/>
        <v>31563.68786124144</v>
      </c>
      <c r="DM19" s="12">
        <f t="shared" si="134"/>
        <v>31563.68786124144</v>
      </c>
      <c r="DN19" s="12">
        <f t="shared" si="134"/>
        <v>31563.68786124144</v>
      </c>
      <c r="DO19" s="12">
        <f t="shared" si="134"/>
        <v>31563.68786124144</v>
      </c>
      <c r="DP19" s="12">
        <f t="shared" si="134"/>
        <v>31563.68786124144</v>
      </c>
      <c r="DQ19" s="12">
        <f t="shared" si="134"/>
        <v>31563.68786124144</v>
      </c>
      <c r="DR19" s="12">
        <f t="shared" si="36"/>
        <v>378764.25433489733</v>
      </c>
      <c r="DS19" s="12">
        <f>DQ19*(1+'Inputs &amp; Assumptions'!$V$78)</f>
        <v>32510.598497078685</v>
      </c>
      <c r="DT19" s="12">
        <f>DS19</f>
        <v>32510.598497078685</v>
      </c>
      <c r="DU19" s="12">
        <f t="shared" ref="DU19:ED19" si="135">DT19</f>
        <v>32510.598497078685</v>
      </c>
      <c r="DV19" s="12">
        <f t="shared" si="135"/>
        <v>32510.598497078685</v>
      </c>
      <c r="DW19" s="12">
        <f t="shared" si="135"/>
        <v>32510.598497078685</v>
      </c>
      <c r="DX19" s="12">
        <f t="shared" si="135"/>
        <v>32510.598497078685</v>
      </c>
      <c r="DY19" s="12">
        <f t="shared" si="135"/>
        <v>32510.598497078685</v>
      </c>
      <c r="DZ19" s="12">
        <f t="shared" si="135"/>
        <v>32510.598497078685</v>
      </c>
      <c r="EA19" s="12">
        <f t="shared" si="135"/>
        <v>32510.598497078685</v>
      </c>
      <c r="EB19" s="12">
        <f t="shared" si="135"/>
        <v>32510.598497078685</v>
      </c>
      <c r="EC19" s="12">
        <f t="shared" si="135"/>
        <v>32510.598497078685</v>
      </c>
      <c r="ED19" s="12">
        <f t="shared" si="135"/>
        <v>32510.598497078685</v>
      </c>
      <c r="EE19" s="242">
        <f t="shared" si="38"/>
        <v>390127.18196494429</v>
      </c>
      <c r="EF19" s="11"/>
    </row>
    <row r="20" spans="2:139" ht="15" customHeight="1">
      <c r="B20" s="187" t="str">
        <f>'Inputs &amp; Assumptions'!$B$29</f>
        <v>Contract Services</v>
      </c>
      <c r="C20" s="1056"/>
      <c r="D20" s="1056"/>
      <c r="E20" s="156" t="e">
        <f>'Inputs &amp; Assumptions'!#REF!</f>
        <v>#REF!</v>
      </c>
      <c r="F20" s="156">
        <f>'Inputs &amp; Assumptions'!F29/12</f>
        <v>5083.333333333333</v>
      </c>
      <c r="G20" s="156">
        <f t="shared" ref="G20:H20" si="136">F20</f>
        <v>5083.333333333333</v>
      </c>
      <c r="H20" s="156">
        <f t="shared" si="136"/>
        <v>5083.333333333333</v>
      </c>
      <c r="I20" s="156">
        <f t="shared" ref="I20:Q20" si="137">H20</f>
        <v>5083.333333333333</v>
      </c>
      <c r="J20" s="156">
        <f t="shared" si="137"/>
        <v>5083.333333333333</v>
      </c>
      <c r="K20" s="156">
        <f t="shared" si="137"/>
        <v>5083.333333333333</v>
      </c>
      <c r="L20" s="156">
        <f t="shared" si="137"/>
        <v>5083.333333333333</v>
      </c>
      <c r="M20" s="156">
        <f t="shared" si="137"/>
        <v>5083.333333333333</v>
      </c>
      <c r="N20" s="156">
        <f t="shared" si="137"/>
        <v>5083.333333333333</v>
      </c>
      <c r="O20" s="156">
        <f t="shared" si="137"/>
        <v>5083.333333333333</v>
      </c>
      <c r="P20" s="156">
        <f t="shared" si="137"/>
        <v>5083.333333333333</v>
      </c>
      <c r="Q20" s="156">
        <f t="shared" si="137"/>
        <v>5083.333333333333</v>
      </c>
      <c r="R20" s="156">
        <f t="shared" ref="R20:R31" si="138">SUM(F20:Q20)</f>
        <v>61000.000000000007</v>
      </c>
      <c r="S20" s="156">
        <f>Q20*(1+'Inputs &amp; Assumptions'!$V$75)</f>
        <v>5235.833333333333</v>
      </c>
      <c r="T20" s="156">
        <f t="shared" ref="T20:AD20" si="139">S20</f>
        <v>5235.833333333333</v>
      </c>
      <c r="U20" s="156">
        <f t="shared" si="139"/>
        <v>5235.833333333333</v>
      </c>
      <c r="V20" s="156">
        <f t="shared" si="139"/>
        <v>5235.833333333333</v>
      </c>
      <c r="W20" s="156">
        <f t="shared" si="139"/>
        <v>5235.833333333333</v>
      </c>
      <c r="X20" s="156">
        <f t="shared" si="139"/>
        <v>5235.833333333333</v>
      </c>
      <c r="Y20" s="156">
        <f t="shared" si="139"/>
        <v>5235.833333333333</v>
      </c>
      <c r="Z20" s="156">
        <f t="shared" si="139"/>
        <v>5235.833333333333</v>
      </c>
      <c r="AA20" s="156">
        <f t="shared" si="139"/>
        <v>5235.833333333333</v>
      </c>
      <c r="AB20" s="156">
        <f t="shared" si="139"/>
        <v>5235.833333333333</v>
      </c>
      <c r="AC20" s="156">
        <f t="shared" si="139"/>
        <v>5235.833333333333</v>
      </c>
      <c r="AD20" s="156">
        <f t="shared" si="139"/>
        <v>5235.833333333333</v>
      </c>
      <c r="AE20" s="156">
        <f t="shared" si="127"/>
        <v>62830.000000000007</v>
      </c>
      <c r="AF20" s="156">
        <f>AD20*(1+'Inputs &amp; Assumptions'!$V$76)</f>
        <v>5392.9083333333328</v>
      </c>
      <c r="AG20" s="156">
        <f t="shared" ref="AG20:AQ20" si="140">AF20</f>
        <v>5392.9083333333328</v>
      </c>
      <c r="AH20" s="156">
        <f t="shared" si="140"/>
        <v>5392.9083333333328</v>
      </c>
      <c r="AI20" s="156">
        <f t="shared" si="140"/>
        <v>5392.9083333333328</v>
      </c>
      <c r="AJ20" s="156">
        <f t="shared" si="140"/>
        <v>5392.9083333333328</v>
      </c>
      <c r="AK20" s="156">
        <f t="shared" si="140"/>
        <v>5392.9083333333328</v>
      </c>
      <c r="AL20" s="156">
        <f t="shared" si="140"/>
        <v>5392.9083333333328</v>
      </c>
      <c r="AM20" s="156">
        <f t="shared" si="140"/>
        <v>5392.9083333333328</v>
      </c>
      <c r="AN20" s="156">
        <f t="shared" si="140"/>
        <v>5392.9083333333328</v>
      </c>
      <c r="AO20" s="156">
        <f t="shared" si="140"/>
        <v>5392.9083333333328</v>
      </c>
      <c r="AP20" s="156">
        <f t="shared" si="140"/>
        <v>5392.9083333333328</v>
      </c>
      <c r="AQ20" s="156">
        <f t="shared" si="140"/>
        <v>5392.9083333333328</v>
      </c>
      <c r="AR20" s="156">
        <f t="shared" si="24"/>
        <v>64714.899999999994</v>
      </c>
      <c r="AS20" s="156">
        <f>AQ20*(1+'Inputs &amp; Assumptions'!$V$77)</f>
        <v>5554.6955833333332</v>
      </c>
      <c r="AT20" s="156">
        <f t="shared" ref="AT20:BD20" si="141">AS20</f>
        <v>5554.6955833333332</v>
      </c>
      <c r="AU20" s="156">
        <f t="shared" si="141"/>
        <v>5554.6955833333332</v>
      </c>
      <c r="AV20" s="156">
        <f t="shared" si="141"/>
        <v>5554.6955833333332</v>
      </c>
      <c r="AW20" s="156">
        <f t="shared" si="141"/>
        <v>5554.6955833333332</v>
      </c>
      <c r="AX20" s="156">
        <f t="shared" si="141"/>
        <v>5554.6955833333332</v>
      </c>
      <c r="AY20" s="156">
        <f t="shared" si="141"/>
        <v>5554.6955833333332</v>
      </c>
      <c r="AZ20" s="156">
        <f t="shared" si="141"/>
        <v>5554.6955833333332</v>
      </c>
      <c r="BA20" s="156">
        <f t="shared" si="141"/>
        <v>5554.6955833333332</v>
      </c>
      <c r="BB20" s="156">
        <f t="shared" si="141"/>
        <v>5554.6955833333332</v>
      </c>
      <c r="BC20" s="156">
        <f t="shared" si="141"/>
        <v>5554.6955833333332</v>
      </c>
      <c r="BD20" s="156">
        <f t="shared" si="141"/>
        <v>5554.6955833333332</v>
      </c>
      <c r="BE20" s="156">
        <f t="shared" si="26"/>
        <v>66656.346999999994</v>
      </c>
      <c r="BF20" s="156">
        <f>BD20*(1+'Inputs &amp; Assumptions'!$V$78)</f>
        <v>5721.3364508333334</v>
      </c>
      <c r="BG20" s="156">
        <f t="shared" ref="BG20:BQ20" si="142">BF20</f>
        <v>5721.3364508333334</v>
      </c>
      <c r="BH20" s="156">
        <f t="shared" si="142"/>
        <v>5721.3364508333334</v>
      </c>
      <c r="BI20" s="156">
        <f t="shared" si="142"/>
        <v>5721.3364508333334</v>
      </c>
      <c r="BJ20" s="156">
        <f t="shared" si="142"/>
        <v>5721.3364508333334</v>
      </c>
      <c r="BK20" s="156">
        <f t="shared" si="142"/>
        <v>5721.3364508333334</v>
      </c>
      <c r="BL20" s="156">
        <f t="shared" si="142"/>
        <v>5721.3364508333334</v>
      </c>
      <c r="BM20" s="156">
        <f t="shared" si="142"/>
        <v>5721.3364508333334</v>
      </c>
      <c r="BN20" s="156">
        <f t="shared" si="142"/>
        <v>5721.3364508333334</v>
      </c>
      <c r="BO20" s="156">
        <f t="shared" si="142"/>
        <v>5721.3364508333334</v>
      </c>
      <c r="BP20" s="156">
        <f t="shared" si="142"/>
        <v>5721.3364508333334</v>
      </c>
      <c r="BQ20" s="156">
        <f t="shared" si="142"/>
        <v>5721.3364508333334</v>
      </c>
      <c r="BR20" s="156">
        <f t="shared" si="28"/>
        <v>68656.037410000004</v>
      </c>
      <c r="BS20" s="156">
        <f>BQ20*(1+'Inputs &amp; Assumptions'!$V$78)</f>
        <v>5892.9765443583337</v>
      </c>
      <c r="BT20" s="156">
        <f t="shared" ref="BT20:CD20" si="143">BS20</f>
        <v>5892.9765443583337</v>
      </c>
      <c r="BU20" s="156">
        <f t="shared" si="143"/>
        <v>5892.9765443583337</v>
      </c>
      <c r="BV20" s="156">
        <f t="shared" si="143"/>
        <v>5892.9765443583337</v>
      </c>
      <c r="BW20" s="156">
        <f t="shared" si="143"/>
        <v>5892.9765443583337</v>
      </c>
      <c r="BX20" s="156">
        <f t="shared" si="143"/>
        <v>5892.9765443583337</v>
      </c>
      <c r="BY20" s="156">
        <f t="shared" si="143"/>
        <v>5892.9765443583337</v>
      </c>
      <c r="BZ20" s="156">
        <f t="shared" si="143"/>
        <v>5892.9765443583337</v>
      </c>
      <c r="CA20" s="156">
        <f t="shared" si="143"/>
        <v>5892.9765443583337</v>
      </c>
      <c r="CB20" s="156">
        <f t="shared" si="143"/>
        <v>5892.9765443583337</v>
      </c>
      <c r="CC20" s="156">
        <f t="shared" si="143"/>
        <v>5892.9765443583337</v>
      </c>
      <c r="CD20" s="156">
        <f t="shared" si="143"/>
        <v>5892.9765443583337</v>
      </c>
      <c r="CE20" s="156">
        <f t="shared" si="30"/>
        <v>70715.718532299987</v>
      </c>
      <c r="CF20" s="156">
        <f>CD20*(1+'Inputs &amp; Assumptions'!$V$78)</f>
        <v>6069.7658406890841</v>
      </c>
      <c r="CG20" s="156">
        <f t="shared" ref="CG20:CQ20" si="144">CF20</f>
        <v>6069.7658406890841</v>
      </c>
      <c r="CH20" s="156">
        <f t="shared" si="144"/>
        <v>6069.7658406890841</v>
      </c>
      <c r="CI20" s="156">
        <f t="shared" si="144"/>
        <v>6069.7658406890841</v>
      </c>
      <c r="CJ20" s="156">
        <f t="shared" si="144"/>
        <v>6069.7658406890841</v>
      </c>
      <c r="CK20" s="156">
        <f t="shared" si="144"/>
        <v>6069.7658406890841</v>
      </c>
      <c r="CL20" s="156">
        <f t="shared" si="144"/>
        <v>6069.7658406890841</v>
      </c>
      <c r="CM20" s="156">
        <f t="shared" si="144"/>
        <v>6069.7658406890841</v>
      </c>
      <c r="CN20" s="156">
        <f t="shared" si="144"/>
        <v>6069.7658406890841</v>
      </c>
      <c r="CO20" s="156">
        <f t="shared" si="144"/>
        <v>6069.7658406890841</v>
      </c>
      <c r="CP20" s="156">
        <f t="shared" si="144"/>
        <v>6069.7658406890841</v>
      </c>
      <c r="CQ20" s="156">
        <f t="shared" si="144"/>
        <v>6069.7658406890841</v>
      </c>
      <c r="CR20" s="156">
        <f t="shared" si="32"/>
        <v>72837.19008826901</v>
      </c>
      <c r="CS20" s="156">
        <f>CQ20*(1+'Inputs &amp; Assumptions'!$V$78)</f>
        <v>6251.8588159097571</v>
      </c>
      <c r="CT20" s="156">
        <f t="shared" ref="CT20:DD20" si="145">CS20</f>
        <v>6251.8588159097571</v>
      </c>
      <c r="CU20" s="156">
        <f t="shared" si="145"/>
        <v>6251.8588159097571</v>
      </c>
      <c r="CV20" s="156">
        <f t="shared" si="145"/>
        <v>6251.8588159097571</v>
      </c>
      <c r="CW20" s="156">
        <f t="shared" si="145"/>
        <v>6251.8588159097571</v>
      </c>
      <c r="CX20" s="156">
        <f t="shared" si="145"/>
        <v>6251.8588159097571</v>
      </c>
      <c r="CY20" s="156">
        <f t="shared" si="145"/>
        <v>6251.8588159097571</v>
      </c>
      <c r="CZ20" s="156">
        <f t="shared" si="145"/>
        <v>6251.8588159097571</v>
      </c>
      <c r="DA20" s="156">
        <f t="shared" si="145"/>
        <v>6251.8588159097571</v>
      </c>
      <c r="DB20" s="156">
        <f t="shared" si="145"/>
        <v>6251.8588159097571</v>
      </c>
      <c r="DC20" s="156">
        <f t="shared" si="145"/>
        <v>6251.8588159097571</v>
      </c>
      <c r="DD20" s="156">
        <f t="shared" si="145"/>
        <v>6251.8588159097571</v>
      </c>
      <c r="DE20" s="156">
        <f t="shared" si="34"/>
        <v>75022.305790917089</v>
      </c>
      <c r="DF20" s="156">
        <f>DD20*(1+'Inputs &amp; Assumptions'!$V$78)</f>
        <v>6439.4145803870497</v>
      </c>
      <c r="DG20" s="156">
        <f t="shared" ref="DG20:DQ20" si="146">DF20</f>
        <v>6439.4145803870497</v>
      </c>
      <c r="DH20" s="156">
        <f t="shared" si="146"/>
        <v>6439.4145803870497</v>
      </c>
      <c r="DI20" s="156">
        <f t="shared" si="146"/>
        <v>6439.4145803870497</v>
      </c>
      <c r="DJ20" s="156">
        <f t="shared" si="146"/>
        <v>6439.4145803870497</v>
      </c>
      <c r="DK20" s="156">
        <f t="shared" si="146"/>
        <v>6439.4145803870497</v>
      </c>
      <c r="DL20" s="156">
        <f t="shared" si="146"/>
        <v>6439.4145803870497</v>
      </c>
      <c r="DM20" s="156">
        <f t="shared" si="146"/>
        <v>6439.4145803870497</v>
      </c>
      <c r="DN20" s="156">
        <f t="shared" si="146"/>
        <v>6439.4145803870497</v>
      </c>
      <c r="DO20" s="156">
        <f t="shared" si="146"/>
        <v>6439.4145803870497</v>
      </c>
      <c r="DP20" s="156">
        <f t="shared" si="146"/>
        <v>6439.4145803870497</v>
      </c>
      <c r="DQ20" s="156">
        <f t="shared" si="146"/>
        <v>6439.4145803870497</v>
      </c>
      <c r="DR20" s="156">
        <f t="shared" si="36"/>
        <v>77272.9749646446</v>
      </c>
      <c r="DS20" s="156">
        <f>DQ20*(1+'Inputs &amp; Assumptions'!$V$78)</f>
        <v>6632.597017798661</v>
      </c>
      <c r="DT20" s="156">
        <f t="shared" ref="DT20:ED20" si="147">DS20</f>
        <v>6632.597017798661</v>
      </c>
      <c r="DU20" s="156">
        <f t="shared" si="147"/>
        <v>6632.597017798661</v>
      </c>
      <c r="DV20" s="156">
        <f t="shared" si="147"/>
        <v>6632.597017798661</v>
      </c>
      <c r="DW20" s="156">
        <f t="shared" si="147"/>
        <v>6632.597017798661</v>
      </c>
      <c r="DX20" s="156">
        <f t="shared" si="147"/>
        <v>6632.597017798661</v>
      </c>
      <c r="DY20" s="156">
        <f t="shared" si="147"/>
        <v>6632.597017798661</v>
      </c>
      <c r="DZ20" s="156">
        <f t="shared" si="147"/>
        <v>6632.597017798661</v>
      </c>
      <c r="EA20" s="156">
        <f t="shared" si="147"/>
        <v>6632.597017798661</v>
      </c>
      <c r="EB20" s="156">
        <f t="shared" si="147"/>
        <v>6632.597017798661</v>
      </c>
      <c r="EC20" s="156">
        <f t="shared" si="147"/>
        <v>6632.597017798661</v>
      </c>
      <c r="ED20" s="156">
        <f t="shared" si="147"/>
        <v>6632.597017798661</v>
      </c>
      <c r="EE20" s="243">
        <f t="shared" si="38"/>
        <v>79591.164213583936</v>
      </c>
      <c r="EF20" s="11"/>
    </row>
    <row r="21" spans="2:139">
      <c r="B21" s="161" t="str">
        <f>'Inputs &amp; Assumptions'!$B$30</f>
        <v>Repairs &amp; Maintenance</v>
      </c>
      <c r="E21" s="12" t="e">
        <f>'Inputs &amp; Assumptions'!#REF!</f>
        <v>#REF!</v>
      </c>
      <c r="F21" s="12">
        <f>'Inputs &amp; Assumptions'!F30/12</f>
        <v>5583.333333333333</v>
      </c>
      <c r="G21" s="12">
        <f t="shared" ref="G21:H21" si="148">F21</f>
        <v>5583.333333333333</v>
      </c>
      <c r="H21" s="12">
        <f t="shared" si="148"/>
        <v>5583.333333333333</v>
      </c>
      <c r="I21" s="12">
        <f t="shared" ref="I21:Q21" si="149">H21</f>
        <v>5583.333333333333</v>
      </c>
      <c r="J21" s="12">
        <f t="shared" si="149"/>
        <v>5583.333333333333</v>
      </c>
      <c r="K21" s="12">
        <f t="shared" si="149"/>
        <v>5583.333333333333</v>
      </c>
      <c r="L21" s="12">
        <f t="shared" si="149"/>
        <v>5583.333333333333</v>
      </c>
      <c r="M21" s="12">
        <f t="shared" si="149"/>
        <v>5583.333333333333</v>
      </c>
      <c r="N21" s="12">
        <f t="shared" si="149"/>
        <v>5583.333333333333</v>
      </c>
      <c r="O21" s="12">
        <f t="shared" si="149"/>
        <v>5583.333333333333</v>
      </c>
      <c r="P21" s="12">
        <f t="shared" si="149"/>
        <v>5583.333333333333</v>
      </c>
      <c r="Q21" s="12">
        <f t="shared" si="149"/>
        <v>5583.333333333333</v>
      </c>
      <c r="R21" s="12">
        <f t="shared" si="138"/>
        <v>67000.000000000015</v>
      </c>
      <c r="S21" s="12">
        <f>Q21*(1+'Inputs &amp; Assumptions'!$V$75)</f>
        <v>5750.833333333333</v>
      </c>
      <c r="T21" s="12">
        <f t="shared" ref="T21:AD21" si="150">S21</f>
        <v>5750.833333333333</v>
      </c>
      <c r="U21" s="12">
        <f t="shared" si="150"/>
        <v>5750.833333333333</v>
      </c>
      <c r="V21" s="12">
        <f t="shared" si="150"/>
        <v>5750.833333333333</v>
      </c>
      <c r="W21" s="12">
        <f t="shared" si="150"/>
        <v>5750.833333333333</v>
      </c>
      <c r="X21" s="12">
        <f t="shared" si="150"/>
        <v>5750.833333333333</v>
      </c>
      <c r="Y21" s="12">
        <f t="shared" si="150"/>
        <v>5750.833333333333</v>
      </c>
      <c r="Z21" s="12">
        <f t="shared" si="150"/>
        <v>5750.833333333333</v>
      </c>
      <c r="AA21" s="12">
        <f t="shared" si="150"/>
        <v>5750.833333333333</v>
      </c>
      <c r="AB21" s="12">
        <f t="shared" si="150"/>
        <v>5750.833333333333</v>
      </c>
      <c r="AC21" s="12">
        <f t="shared" si="150"/>
        <v>5750.833333333333</v>
      </c>
      <c r="AD21" s="12">
        <f t="shared" si="150"/>
        <v>5750.833333333333</v>
      </c>
      <c r="AE21" s="12">
        <f t="shared" si="127"/>
        <v>69010.000000000015</v>
      </c>
      <c r="AF21" s="12">
        <f>AD21*(1+'Inputs &amp; Assumptions'!$V$76)</f>
        <v>5923.3583333333336</v>
      </c>
      <c r="AG21" s="12">
        <f t="shared" ref="AG21:AQ21" si="151">AF21</f>
        <v>5923.3583333333336</v>
      </c>
      <c r="AH21" s="12">
        <f t="shared" si="151"/>
        <v>5923.3583333333336</v>
      </c>
      <c r="AI21" s="12">
        <f t="shared" si="151"/>
        <v>5923.3583333333336</v>
      </c>
      <c r="AJ21" s="12">
        <f t="shared" si="151"/>
        <v>5923.3583333333336</v>
      </c>
      <c r="AK21" s="12">
        <f t="shared" si="151"/>
        <v>5923.3583333333336</v>
      </c>
      <c r="AL21" s="12">
        <f t="shared" si="151"/>
        <v>5923.3583333333336</v>
      </c>
      <c r="AM21" s="12">
        <f t="shared" si="151"/>
        <v>5923.3583333333336</v>
      </c>
      <c r="AN21" s="12">
        <f t="shared" si="151"/>
        <v>5923.3583333333336</v>
      </c>
      <c r="AO21" s="12">
        <f t="shared" si="151"/>
        <v>5923.3583333333336</v>
      </c>
      <c r="AP21" s="12">
        <f t="shared" si="151"/>
        <v>5923.3583333333336</v>
      </c>
      <c r="AQ21" s="12">
        <f t="shared" si="151"/>
        <v>5923.3583333333336</v>
      </c>
      <c r="AR21" s="12">
        <f t="shared" si="24"/>
        <v>71080.300000000017</v>
      </c>
      <c r="AS21" s="12">
        <f>AQ21*(1+'Inputs &amp; Assumptions'!$V$77)</f>
        <v>6101.0590833333335</v>
      </c>
      <c r="AT21" s="12">
        <f t="shared" ref="AT21:BD21" si="152">AS21</f>
        <v>6101.0590833333335</v>
      </c>
      <c r="AU21" s="12">
        <f t="shared" si="152"/>
        <v>6101.0590833333335</v>
      </c>
      <c r="AV21" s="12">
        <f t="shared" si="152"/>
        <v>6101.0590833333335</v>
      </c>
      <c r="AW21" s="12">
        <f t="shared" si="152"/>
        <v>6101.0590833333335</v>
      </c>
      <c r="AX21" s="12">
        <f t="shared" si="152"/>
        <v>6101.0590833333335</v>
      </c>
      <c r="AY21" s="12">
        <f t="shared" si="152"/>
        <v>6101.0590833333335</v>
      </c>
      <c r="AZ21" s="12">
        <f t="shared" si="152"/>
        <v>6101.0590833333335</v>
      </c>
      <c r="BA21" s="12">
        <f t="shared" si="152"/>
        <v>6101.0590833333335</v>
      </c>
      <c r="BB21" s="12">
        <f t="shared" si="152"/>
        <v>6101.0590833333335</v>
      </c>
      <c r="BC21" s="12">
        <f t="shared" si="152"/>
        <v>6101.0590833333335</v>
      </c>
      <c r="BD21" s="12">
        <f t="shared" si="152"/>
        <v>6101.0590833333335</v>
      </c>
      <c r="BE21" s="12">
        <f t="shared" si="26"/>
        <v>73212.709000000003</v>
      </c>
      <c r="BF21" s="12">
        <f>BD21*(1+'Inputs &amp; Assumptions'!$V$78)</f>
        <v>6284.090855833334</v>
      </c>
      <c r="BG21" s="12">
        <f t="shared" ref="BG21:BQ21" si="153">BF21</f>
        <v>6284.090855833334</v>
      </c>
      <c r="BH21" s="12">
        <f t="shared" si="153"/>
        <v>6284.090855833334</v>
      </c>
      <c r="BI21" s="12">
        <f t="shared" si="153"/>
        <v>6284.090855833334</v>
      </c>
      <c r="BJ21" s="12">
        <f t="shared" si="153"/>
        <v>6284.090855833334</v>
      </c>
      <c r="BK21" s="12">
        <f t="shared" si="153"/>
        <v>6284.090855833334</v>
      </c>
      <c r="BL21" s="12">
        <f t="shared" si="153"/>
        <v>6284.090855833334</v>
      </c>
      <c r="BM21" s="12">
        <f t="shared" si="153"/>
        <v>6284.090855833334</v>
      </c>
      <c r="BN21" s="12">
        <f t="shared" si="153"/>
        <v>6284.090855833334</v>
      </c>
      <c r="BO21" s="12">
        <f t="shared" si="153"/>
        <v>6284.090855833334</v>
      </c>
      <c r="BP21" s="12">
        <f t="shared" si="153"/>
        <v>6284.090855833334</v>
      </c>
      <c r="BQ21" s="12">
        <f t="shared" si="153"/>
        <v>6284.090855833334</v>
      </c>
      <c r="BR21" s="12">
        <f t="shared" si="28"/>
        <v>75409.090270000001</v>
      </c>
      <c r="BS21" s="12">
        <f>BQ21*(1+'Inputs &amp; Assumptions'!$V$78)</f>
        <v>6472.6135815083344</v>
      </c>
      <c r="BT21" s="12">
        <f t="shared" ref="BT21:CD21" si="154">BS21</f>
        <v>6472.6135815083344</v>
      </c>
      <c r="BU21" s="12">
        <f t="shared" si="154"/>
        <v>6472.6135815083344</v>
      </c>
      <c r="BV21" s="12">
        <f t="shared" si="154"/>
        <v>6472.6135815083344</v>
      </c>
      <c r="BW21" s="12">
        <f t="shared" si="154"/>
        <v>6472.6135815083344</v>
      </c>
      <c r="BX21" s="12">
        <f t="shared" si="154"/>
        <v>6472.6135815083344</v>
      </c>
      <c r="BY21" s="12">
        <f t="shared" si="154"/>
        <v>6472.6135815083344</v>
      </c>
      <c r="BZ21" s="12">
        <f t="shared" si="154"/>
        <v>6472.6135815083344</v>
      </c>
      <c r="CA21" s="12">
        <f t="shared" si="154"/>
        <v>6472.6135815083344</v>
      </c>
      <c r="CB21" s="12">
        <f t="shared" si="154"/>
        <v>6472.6135815083344</v>
      </c>
      <c r="CC21" s="12">
        <f t="shared" si="154"/>
        <v>6472.6135815083344</v>
      </c>
      <c r="CD21" s="12">
        <f t="shared" si="154"/>
        <v>6472.6135815083344</v>
      </c>
      <c r="CE21" s="12">
        <f t="shared" si="30"/>
        <v>77671.362978100005</v>
      </c>
      <c r="CF21" s="12">
        <f>CD21*(1+'Inputs &amp; Assumptions'!$V$78)</f>
        <v>6666.7919889535842</v>
      </c>
      <c r="CG21" s="12">
        <f t="shared" ref="CG21:CQ21" si="155">CF21</f>
        <v>6666.7919889535842</v>
      </c>
      <c r="CH21" s="12">
        <f t="shared" si="155"/>
        <v>6666.7919889535842</v>
      </c>
      <c r="CI21" s="12">
        <f t="shared" si="155"/>
        <v>6666.7919889535842</v>
      </c>
      <c r="CJ21" s="12">
        <f t="shared" si="155"/>
        <v>6666.7919889535842</v>
      </c>
      <c r="CK21" s="12">
        <f t="shared" si="155"/>
        <v>6666.7919889535842</v>
      </c>
      <c r="CL21" s="12">
        <f t="shared" si="155"/>
        <v>6666.7919889535842</v>
      </c>
      <c r="CM21" s="12">
        <f t="shared" si="155"/>
        <v>6666.7919889535842</v>
      </c>
      <c r="CN21" s="12">
        <f t="shared" si="155"/>
        <v>6666.7919889535842</v>
      </c>
      <c r="CO21" s="12">
        <f t="shared" si="155"/>
        <v>6666.7919889535842</v>
      </c>
      <c r="CP21" s="12">
        <f t="shared" si="155"/>
        <v>6666.7919889535842</v>
      </c>
      <c r="CQ21" s="12">
        <f t="shared" si="155"/>
        <v>6666.7919889535842</v>
      </c>
      <c r="CR21" s="12">
        <f t="shared" si="32"/>
        <v>80001.503867443011</v>
      </c>
      <c r="CS21" s="12">
        <f>CQ21*(1+'Inputs &amp; Assumptions'!$V$78)</f>
        <v>6866.7957486221921</v>
      </c>
      <c r="CT21" s="12">
        <f t="shared" ref="CT21:DD21" si="156">CS21</f>
        <v>6866.7957486221921</v>
      </c>
      <c r="CU21" s="12">
        <f t="shared" si="156"/>
        <v>6866.7957486221921</v>
      </c>
      <c r="CV21" s="12">
        <f t="shared" si="156"/>
        <v>6866.7957486221921</v>
      </c>
      <c r="CW21" s="12">
        <f t="shared" si="156"/>
        <v>6866.7957486221921</v>
      </c>
      <c r="CX21" s="12">
        <f t="shared" si="156"/>
        <v>6866.7957486221921</v>
      </c>
      <c r="CY21" s="12">
        <f t="shared" si="156"/>
        <v>6866.7957486221921</v>
      </c>
      <c r="CZ21" s="12">
        <f t="shared" si="156"/>
        <v>6866.7957486221921</v>
      </c>
      <c r="DA21" s="12">
        <f t="shared" si="156"/>
        <v>6866.7957486221921</v>
      </c>
      <c r="DB21" s="12">
        <f t="shared" si="156"/>
        <v>6866.7957486221921</v>
      </c>
      <c r="DC21" s="12">
        <f t="shared" si="156"/>
        <v>6866.7957486221921</v>
      </c>
      <c r="DD21" s="12">
        <f t="shared" si="156"/>
        <v>6866.7957486221921</v>
      </c>
      <c r="DE21" s="12">
        <f t="shared" si="34"/>
        <v>82401.548983466288</v>
      </c>
      <c r="DF21" s="12">
        <f>DD21*(1+'Inputs &amp; Assumptions'!$V$78)</f>
        <v>7072.7996210808578</v>
      </c>
      <c r="DG21" s="12">
        <f t="shared" ref="DG21:DQ21" si="157">DF21</f>
        <v>7072.7996210808578</v>
      </c>
      <c r="DH21" s="12">
        <f t="shared" si="157"/>
        <v>7072.7996210808578</v>
      </c>
      <c r="DI21" s="12">
        <f t="shared" si="157"/>
        <v>7072.7996210808578</v>
      </c>
      <c r="DJ21" s="12">
        <f t="shared" si="157"/>
        <v>7072.7996210808578</v>
      </c>
      <c r="DK21" s="12">
        <f t="shared" si="157"/>
        <v>7072.7996210808578</v>
      </c>
      <c r="DL21" s="12">
        <f t="shared" si="157"/>
        <v>7072.7996210808578</v>
      </c>
      <c r="DM21" s="12">
        <f t="shared" si="157"/>
        <v>7072.7996210808578</v>
      </c>
      <c r="DN21" s="12">
        <f t="shared" si="157"/>
        <v>7072.7996210808578</v>
      </c>
      <c r="DO21" s="12">
        <f t="shared" si="157"/>
        <v>7072.7996210808578</v>
      </c>
      <c r="DP21" s="12">
        <f t="shared" si="157"/>
        <v>7072.7996210808578</v>
      </c>
      <c r="DQ21" s="12">
        <f t="shared" si="157"/>
        <v>7072.7996210808578</v>
      </c>
      <c r="DR21" s="12">
        <f t="shared" si="36"/>
        <v>84873.595452970301</v>
      </c>
      <c r="DS21" s="12">
        <f>DQ21*(1+'Inputs &amp; Assumptions'!$V$78)</f>
        <v>7284.9836097132838</v>
      </c>
      <c r="DT21" s="12">
        <f t="shared" ref="DT21:ED21" si="158">DS21</f>
        <v>7284.9836097132838</v>
      </c>
      <c r="DU21" s="12">
        <f t="shared" si="158"/>
        <v>7284.9836097132838</v>
      </c>
      <c r="DV21" s="12">
        <f t="shared" si="158"/>
        <v>7284.9836097132838</v>
      </c>
      <c r="DW21" s="12">
        <f t="shared" si="158"/>
        <v>7284.9836097132838</v>
      </c>
      <c r="DX21" s="12">
        <f t="shared" si="158"/>
        <v>7284.9836097132838</v>
      </c>
      <c r="DY21" s="12">
        <f t="shared" si="158"/>
        <v>7284.9836097132838</v>
      </c>
      <c r="DZ21" s="12">
        <f t="shared" si="158"/>
        <v>7284.9836097132838</v>
      </c>
      <c r="EA21" s="12">
        <f t="shared" si="158"/>
        <v>7284.9836097132838</v>
      </c>
      <c r="EB21" s="12">
        <f t="shared" si="158"/>
        <v>7284.9836097132838</v>
      </c>
      <c r="EC21" s="12">
        <f t="shared" si="158"/>
        <v>7284.9836097132838</v>
      </c>
      <c r="ED21" s="12">
        <f t="shared" si="158"/>
        <v>7284.9836097132838</v>
      </c>
      <c r="EE21" s="242">
        <f t="shared" si="38"/>
        <v>87419.803316559395</v>
      </c>
      <c r="EF21" s="11"/>
    </row>
    <row r="22" spans="2:139">
      <c r="B22" s="187" t="str">
        <f>'Inputs &amp; Assumptions'!$B$31</f>
        <v>Turnover</v>
      </c>
      <c r="C22" s="1056"/>
      <c r="D22" s="1056"/>
      <c r="E22" s="156" t="e">
        <f>'Inputs &amp; Assumptions'!#REF!</f>
        <v>#REF!</v>
      </c>
      <c r="F22" s="156">
        <f>'Inputs &amp; Assumptions'!F31/12</f>
        <v>4166.666666666667</v>
      </c>
      <c r="G22" s="156">
        <f t="shared" ref="G22:H22" si="159">F22</f>
        <v>4166.666666666667</v>
      </c>
      <c r="H22" s="156">
        <f t="shared" si="159"/>
        <v>4166.666666666667</v>
      </c>
      <c r="I22" s="156">
        <f t="shared" ref="I22:Q22" si="160">H22</f>
        <v>4166.666666666667</v>
      </c>
      <c r="J22" s="156">
        <f t="shared" si="160"/>
        <v>4166.666666666667</v>
      </c>
      <c r="K22" s="156">
        <f t="shared" si="160"/>
        <v>4166.666666666667</v>
      </c>
      <c r="L22" s="156">
        <f t="shared" si="160"/>
        <v>4166.666666666667</v>
      </c>
      <c r="M22" s="156">
        <f t="shared" si="160"/>
        <v>4166.666666666667</v>
      </c>
      <c r="N22" s="156">
        <f t="shared" si="160"/>
        <v>4166.666666666667</v>
      </c>
      <c r="O22" s="156">
        <f t="shared" si="160"/>
        <v>4166.666666666667</v>
      </c>
      <c r="P22" s="156">
        <f t="shared" si="160"/>
        <v>4166.666666666667</v>
      </c>
      <c r="Q22" s="156">
        <f t="shared" si="160"/>
        <v>4166.666666666667</v>
      </c>
      <c r="R22" s="156">
        <f t="shared" si="138"/>
        <v>49999.999999999993</v>
      </c>
      <c r="S22" s="156">
        <f>Q22*(1+'Inputs &amp; Assumptions'!$V$75)</f>
        <v>4291.666666666667</v>
      </c>
      <c r="T22" s="156">
        <f t="shared" ref="T22:AD22" si="161">S22</f>
        <v>4291.666666666667</v>
      </c>
      <c r="U22" s="156">
        <f t="shared" si="161"/>
        <v>4291.666666666667</v>
      </c>
      <c r="V22" s="156">
        <f t="shared" si="161"/>
        <v>4291.666666666667</v>
      </c>
      <c r="W22" s="156">
        <f t="shared" si="161"/>
        <v>4291.666666666667</v>
      </c>
      <c r="X22" s="156">
        <f t="shared" si="161"/>
        <v>4291.666666666667</v>
      </c>
      <c r="Y22" s="156">
        <f t="shared" si="161"/>
        <v>4291.666666666667</v>
      </c>
      <c r="Z22" s="156">
        <f t="shared" si="161"/>
        <v>4291.666666666667</v>
      </c>
      <c r="AA22" s="156">
        <f t="shared" si="161"/>
        <v>4291.666666666667</v>
      </c>
      <c r="AB22" s="156">
        <f t="shared" si="161"/>
        <v>4291.666666666667</v>
      </c>
      <c r="AC22" s="156">
        <f t="shared" si="161"/>
        <v>4291.666666666667</v>
      </c>
      <c r="AD22" s="156">
        <f t="shared" si="161"/>
        <v>4291.666666666667</v>
      </c>
      <c r="AE22" s="156">
        <f t="shared" si="127"/>
        <v>51499.999999999993</v>
      </c>
      <c r="AF22" s="156">
        <f>AD22*(1+'Inputs &amp; Assumptions'!$V$76)</f>
        <v>4420.416666666667</v>
      </c>
      <c r="AG22" s="156">
        <f t="shared" ref="AG22:AQ22" si="162">AF22</f>
        <v>4420.416666666667</v>
      </c>
      <c r="AH22" s="156">
        <f t="shared" si="162"/>
        <v>4420.416666666667</v>
      </c>
      <c r="AI22" s="156">
        <f t="shared" si="162"/>
        <v>4420.416666666667</v>
      </c>
      <c r="AJ22" s="156">
        <f t="shared" si="162"/>
        <v>4420.416666666667</v>
      </c>
      <c r="AK22" s="156">
        <f t="shared" si="162"/>
        <v>4420.416666666667</v>
      </c>
      <c r="AL22" s="156">
        <f t="shared" si="162"/>
        <v>4420.416666666667</v>
      </c>
      <c r="AM22" s="156">
        <f t="shared" si="162"/>
        <v>4420.416666666667</v>
      </c>
      <c r="AN22" s="156">
        <f t="shared" si="162"/>
        <v>4420.416666666667</v>
      </c>
      <c r="AO22" s="156">
        <f t="shared" si="162"/>
        <v>4420.416666666667</v>
      </c>
      <c r="AP22" s="156">
        <f t="shared" si="162"/>
        <v>4420.416666666667</v>
      </c>
      <c r="AQ22" s="156">
        <f t="shared" si="162"/>
        <v>4420.416666666667</v>
      </c>
      <c r="AR22" s="156">
        <f t="shared" si="24"/>
        <v>53044.999999999993</v>
      </c>
      <c r="AS22" s="156">
        <f>AQ22*(1+'Inputs &amp; Assumptions'!$V$77)</f>
        <v>4553.0291666666672</v>
      </c>
      <c r="AT22" s="156">
        <f t="shared" ref="AT22:BD22" si="163">AS22</f>
        <v>4553.0291666666672</v>
      </c>
      <c r="AU22" s="156">
        <f t="shared" si="163"/>
        <v>4553.0291666666672</v>
      </c>
      <c r="AV22" s="156">
        <f t="shared" si="163"/>
        <v>4553.0291666666672</v>
      </c>
      <c r="AW22" s="156">
        <f t="shared" si="163"/>
        <v>4553.0291666666672</v>
      </c>
      <c r="AX22" s="156">
        <f t="shared" si="163"/>
        <v>4553.0291666666672</v>
      </c>
      <c r="AY22" s="156">
        <f t="shared" si="163"/>
        <v>4553.0291666666672</v>
      </c>
      <c r="AZ22" s="156">
        <f t="shared" si="163"/>
        <v>4553.0291666666672</v>
      </c>
      <c r="BA22" s="156">
        <f t="shared" si="163"/>
        <v>4553.0291666666672</v>
      </c>
      <c r="BB22" s="156">
        <f t="shared" si="163"/>
        <v>4553.0291666666672</v>
      </c>
      <c r="BC22" s="156">
        <f t="shared" si="163"/>
        <v>4553.0291666666672</v>
      </c>
      <c r="BD22" s="156">
        <f t="shared" si="163"/>
        <v>4553.0291666666672</v>
      </c>
      <c r="BE22" s="156">
        <f t="shared" si="26"/>
        <v>54636.350000000006</v>
      </c>
      <c r="BF22" s="156">
        <f>BD22*(1+'Inputs &amp; Assumptions'!$V$78)</f>
        <v>4689.620041666667</v>
      </c>
      <c r="BG22" s="156">
        <f t="shared" ref="BG22:BQ22" si="164">BF22</f>
        <v>4689.620041666667</v>
      </c>
      <c r="BH22" s="156">
        <f t="shared" si="164"/>
        <v>4689.620041666667</v>
      </c>
      <c r="BI22" s="156">
        <f t="shared" si="164"/>
        <v>4689.620041666667</v>
      </c>
      <c r="BJ22" s="156">
        <f t="shared" si="164"/>
        <v>4689.620041666667</v>
      </c>
      <c r="BK22" s="156">
        <f t="shared" si="164"/>
        <v>4689.620041666667</v>
      </c>
      <c r="BL22" s="156">
        <f t="shared" si="164"/>
        <v>4689.620041666667</v>
      </c>
      <c r="BM22" s="156">
        <f t="shared" si="164"/>
        <v>4689.620041666667</v>
      </c>
      <c r="BN22" s="156">
        <f t="shared" si="164"/>
        <v>4689.620041666667</v>
      </c>
      <c r="BO22" s="156">
        <f t="shared" si="164"/>
        <v>4689.620041666667</v>
      </c>
      <c r="BP22" s="156">
        <f t="shared" si="164"/>
        <v>4689.620041666667</v>
      </c>
      <c r="BQ22" s="156">
        <f t="shared" si="164"/>
        <v>4689.620041666667</v>
      </c>
      <c r="BR22" s="156">
        <f>SUM(BF22:BQ22)</f>
        <v>56275.440500000019</v>
      </c>
      <c r="BS22" s="156">
        <f>BQ22*(1+'Inputs &amp; Assumptions'!$V$78)</f>
        <v>4830.3086429166669</v>
      </c>
      <c r="BT22" s="156">
        <f t="shared" ref="BT22:CD22" si="165">BS22</f>
        <v>4830.3086429166669</v>
      </c>
      <c r="BU22" s="156">
        <f t="shared" si="165"/>
        <v>4830.3086429166669</v>
      </c>
      <c r="BV22" s="156">
        <f t="shared" si="165"/>
        <v>4830.3086429166669</v>
      </c>
      <c r="BW22" s="156">
        <f t="shared" si="165"/>
        <v>4830.3086429166669</v>
      </c>
      <c r="BX22" s="156">
        <f t="shared" si="165"/>
        <v>4830.3086429166669</v>
      </c>
      <c r="BY22" s="156">
        <f t="shared" si="165"/>
        <v>4830.3086429166669</v>
      </c>
      <c r="BZ22" s="156">
        <f t="shared" si="165"/>
        <v>4830.3086429166669</v>
      </c>
      <c r="CA22" s="156">
        <f t="shared" si="165"/>
        <v>4830.3086429166669</v>
      </c>
      <c r="CB22" s="156">
        <f t="shared" si="165"/>
        <v>4830.3086429166669</v>
      </c>
      <c r="CC22" s="156">
        <f t="shared" si="165"/>
        <v>4830.3086429166669</v>
      </c>
      <c r="CD22" s="156">
        <f t="shared" si="165"/>
        <v>4830.3086429166669</v>
      </c>
      <c r="CE22" s="156">
        <f t="shared" si="30"/>
        <v>57963.703714999989</v>
      </c>
      <c r="CF22" s="156">
        <f>CD22*(1+'Inputs &amp; Assumptions'!$V$78)</f>
        <v>4975.2179022041673</v>
      </c>
      <c r="CG22" s="156">
        <f t="shared" ref="CG22:CQ22" si="166">CF22</f>
        <v>4975.2179022041673</v>
      </c>
      <c r="CH22" s="156">
        <f t="shared" si="166"/>
        <v>4975.2179022041673</v>
      </c>
      <c r="CI22" s="156">
        <f t="shared" si="166"/>
        <v>4975.2179022041673</v>
      </c>
      <c r="CJ22" s="156">
        <f t="shared" si="166"/>
        <v>4975.2179022041673</v>
      </c>
      <c r="CK22" s="156">
        <f t="shared" si="166"/>
        <v>4975.2179022041673</v>
      </c>
      <c r="CL22" s="156">
        <f t="shared" si="166"/>
        <v>4975.2179022041673</v>
      </c>
      <c r="CM22" s="156">
        <f t="shared" si="166"/>
        <v>4975.2179022041673</v>
      </c>
      <c r="CN22" s="156">
        <f t="shared" si="166"/>
        <v>4975.2179022041673</v>
      </c>
      <c r="CO22" s="156">
        <f t="shared" si="166"/>
        <v>4975.2179022041673</v>
      </c>
      <c r="CP22" s="156">
        <f t="shared" si="166"/>
        <v>4975.2179022041673</v>
      </c>
      <c r="CQ22" s="156">
        <f t="shared" si="166"/>
        <v>4975.2179022041673</v>
      </c>
      <c r="CR22" s="156">
        <f t="shared" si="32"/>
        <v>59702.614826450008</v>
      </c>
      <c r="CS22" s="156">
        <f>CQ22*(1+'Inputs &amp; Assumptions'!$V$78)</f>
        <v>5124.4744392702924</v>
      </c>
      <c r="CT22" s="156">
        <f t="shared" ref="CT22:DD22" si="167">CS22</f>
        <v>5124.4744392702924</v>
      </c>
      <c r="CU22" s="156">
        <f t="shared" si="167"/>
        <v>5124.4744392702924</v>
      </c>
      <c r="CV22" s="156">
        <f t="shared" si="167"/>
        <v>5124.4744392702924</v>
      </c>
      <c r="CW22" s="156">
        <f t="shared" si="167"/>
        <v>5124.4744392702924</v>
      </c>
      <c r="CX22" s="156">
        <f t="shared" si="167"/>
        <v>5124.4744392702924</v>
      </c>
      <c r="CY22" s="156">
        <f t="shared" si="167"/>
        <v>5124.4744392702924</v>
      </c>
      <c r="CZ22" s="156">
        <f t="shared" si="167"/>
        <v>5124.4744392702924</v>
      </c>
      <c r="DA22" s="156">
        <f t="shared" si="167"/>
        <v>5124.4744392702924</v>
      </c>
      <c r="DB22" s="156">
        <f t="shared" si="167"/>
        <v>5124.4744392702924</v>
      </c>
      <c r="DC22" s="156">
        <f t="shared" si="167"/>
        <v>5124.4744392702924</v>
      </c>
      <c r="DD22" s="156">
        <f t="shared" si="167"/>
        <v>5124.4744392702924</v>
      </c>
      <c r="DE22" s="156">
        <f t="shared" si="34"/>
        <v>61493.693271243508</v>
      </c>
      <c r="DF22" s="156">
        <f>DD22*(1+'Inputs &amp; Assumptions'!$V$78)</f>
        <v>5278.2086724484016</v>
      </c>
      <c r="DG22" s="156">
        <f t="shared" ref="DG22:DQ22" si="168">DF22</f>
        <v>5278.2086724484016</v>
      </c>
      <c r="DH22" s="156">
        <f t="shared" si="168"/>
        <v>5278.2086724484016</v>
      </c>
      <c r="DI22" s="156">
        <f t="shared" si="168"/>
        <v>5278.2086724484016</v>
      </c>
      <c r="DJ22" s="156">
        <f t="shared" si="168"/>
        <v>5278.2086724484016</v>
      </c>
      <c r="DK22" s="156">
        <f t="shared" si="168"/>
        <v>5278.2086724484016</v>
      </c>
      <c r="DL22" s="156">
        <f t="shared" si="168"/>
        <v>5278.2086724484016</v>
      </c>
      <c r="DM22" s="156">
        <f t="shared" si="168"/>
        <v>5278.2086724484016</v>
      </c>
      <c r="DN22" s="156">
        <f t="shared" si="168"/>
        <v>5278.2086724484016</v>
      </c>
      <c r="DO22" s="156">
        <f t="shared" si="168"/>
        <v>5278.2086724484016</v>
      </c>
      <c r="DP22" s="156">
        <f t="shared" si="168"/>
        <v>5278.2086724484016</v>
      </c>
      <c r="DQ22" s="156">
        <f t="shared" si="168"/>
        <v>5278.2086724484016</v>
      </c>
      <c r="DR22" s="156">
        <f t="shared" si="36"/>
        <v>63338.504069380833</v>
      </c>
      <c r="DS22" s="156">
        <f>DQ22*(1+'Inputs &amp; Assumptions'!$V$78)</f>
        <v>5436.5549326218534</v>
      </c>
      <c r="DT22" s="156">
        <f t="shared" ref="DT22:ED22" si="169">DS22</f>
        <v>5436.5549326218534</v>
      </c>
      <c r="DU22" s="156">
        <f t="shared" si="169"/>
        <v>5436.5549326218534</v>
      </c>
      <c r="DV22" s="156">
        <f t="shared" si="169"/>
        <v>5436.5549326218534</v>
      </c>
      <c r="DW22" s="156">
        <f t="shared" si="169"/>
        <v>5436.5549326218534</v>
      </c>
      <c r="DX22" s="156">
        <f t="shared" si="169"/>
        <v>5436.5549326218534</v>
      </c>
      <c r="DY22" s="156">
        <f t="shared" si="169"/>
        <v>5436.5549326218534</v>
      </c>
      <c r="DZ22" s="156">
        <f t="shared" si="169"/>
        <v>5436.5549326218534</v>
      </c>
      <c r="EA22" s="156">
        <f t="shared" si="169"/>
        <v>5436.5549326218534</v>
      </c>
      <c r="EB22" s="156">
        <f t="shared" si="169"/>
        <v>5436.5549326218534</v>
      </c>
      <c r="EC22" s="156">
        <f t="shared" si="169"/>
        <v>5436.5549326218534</v>
      </c>
      <c r="ED22" s="156">
        <f t="shared" si="169"/>
        <v>5436.5549326218534</v>
      </c>
      <c r="EE22" s="243">
        <f t="shared" si="38"/>
        <v>65238.65919146224</v>
      </c>
      <c r="EF22" s="11"/>
    </row>
    <row r="23" spans="2:139">
      <c r="B23" s="161" t="str">
        <f>'Inputs &amp; Assumptions'!$B$32</f>
        <v>Utilities</v>
      </c>
      <c r="E23" s="12" t="e">
        <f>'Inputs &amp; Assumptions'!#REF!</f>
        <v>#REF!</v>
      </c>
      <c r="F23" s="12">
        <f>'Inputs &amp; Assumptions'!F32/12</f>
        <v>23408.25</v>
      </c>
      <c r="G23" s="12">
        <f t="shared" ref="G23:H23" si="170">F23</f>
        <v>23408.25</v>
      </c>
      <c r="H23" s="12">
        <f t="shared" si="170"/>
        <v>23408.25</v>
      </c>
      <c r="I23" s="12">
        <f t="shared" ref="I23:Q23" si="171">H23</f>
        <v>23408.25</v>
      </c>
      <c r="J23" s="12">
        <f t="shared" si="171"/>
        <v>23408.25</v>
      </c>
      <c r="K23" s="12">
        <f t="shared" si="171"/>
        <v>23408.25</v>
      </c>
      <c r="L23" s="12">
        <f t="shared" si="171"/>
        <v>23408.25</v>
      </c>
      <c r="M23" s="12">
        <f t="shared" si="171"/>
        <v>23408.25</v>
      </c>
      <c r="N23" s="12">
        <f t="shared" si="171"/>
        <v>23408.25</v>
      </c>
      <c r="O23" s="12">
        <f t="shared" si="171"/>
        <v>23408.25</v>
      </c>
      <c r="P23" s="12">
        <f t="shared" si="171"/>
        <v>23408.25</v>
      </c>
      <c r="Q23" s="12">
        <f t="shared" si="171"/>
        <v>23408.25</v>
      </c>
      <c r="R23" s="12">
        <f t="shared" si="138"/>
        <v>280899</v>
      </c>
      <c r="S23" s="12">
        <f>Q23*(1+'Inputs &amp; Assumptions'!$V$75)</f>
        <v>24110.497500000001</v>
      </c>
      <c r="T23" s="12">
        <f t="shared" ref="T23:AD23" si="172">S23</f>
        <v>24110.497500000001</v>
      </c>
      <c r="U23" s="12">
        <f t="shared" si="172"/>
        <v>24110.497500000001</v>
      </c>
      <c r="V23" s="12">
        <f t="shared" si="172"/>
        <v>24110.497500000001</v>
      </c>
      <c r="W23" s="12">
        <f t="shared" si="172"/>
        <v>24110.497500000001</v>
      </c>
      <c r="X23" s="12">
        <f t="shared" si="172"/>
        <v>24110.497500000001</v>
      </c>
      <c r="Y23" s="12">
        <f t="shared" si="172"/>
        <v>24110.497500000001</v>
      </c>
      <c r="Z23" s="12">
        <f t="shared" si="172"/>
        <v>24110.497500000001</v>
      </c>
      <c r="AA23" s="12">
        <f t="shared" si="172"/>
        <v>24110.497500000001</v>
      </c>
      <c r="AB23" s="12">
        <f t="shared" si="172"/>
        <v>24110.497500000001</v>
      </c>
      <c r="AC23" s="12">
        <f t="shared" si="172"/>
        <v>24110.497500000001</v>
      </c>
      <c r="AD23" s="12">
        <f t="shared" si="172"/>
        <v>24110.497500000001</v>
      </c>
      <c r="AE23" s="12">
        <f>SUM(S23:AD23)</f>
        <v>289325.97000000003</v>
      </c>
      <c r="AF23" s="12">
        <f>AD23*(1+'Inputs &amp; Assumptions'!$V$76)</f>
        <v>24833.812425000004</v>
      </c>
      <c r="AG23" s="12">
        <f t="shared" ref="AG23:AQ23" si="173">AF23</f>
        <v>24833.812425000004</v>
      </c>
      <c r="AH23" s="12">
        <f t="shared" si="173"/>
        <v>24833.812425000004</v>
      </c>
      <c r="AI23" s="12">
        <f t="shared" si="173"/>
        <v>24833.812425000004</v>
      </c>
      <c r="AJ23" s="12">
        <f t="shared" si="173"/>
        <v>24833.812425000004</v>
      </c>
      <c r="AK23" s="12">
        <f t="shared" si="173"/>
        <v>24833.812425000004</v>
      </c>
      <c r="AL23" s="12">
        <f t="shared" si="173"/>
        <v>24833.812425000004</v>
      </c>
      <c r="AM23" s="12">
        <f t="shared" si="173"/>
        <v>24833.812425000004</v>
      </c>
      <c r="AN23" s="12">
        <f t="shared" si="173"/>
        <v>24833.812425000004</v>
      </c>
      <c r="AO23" s="12">
        <f t="shared" si="173"/>
        <v>24833.812425000004</v>
      </c>
      <c r="AP23" s="12">
        <f t="shared" si="173"/>
        <v>24833.812425000004</v>
      </c>
      <c r="AQ23" s="12">
        <f t="shared" si="173"/>
        <v>24833.812425000004</v>
      </c>
      <c r="AR23" s="12">
        <f>SUM(AF23:AQ23)</f>
        <v>298005.74910000007</v>
      </c>
      <c r="AS23" s="12">
        <f>AQ23*(1+'Inputs &amp; Assumptions'!$V$77)</f>
        <v>25578.826797750004</v>
      </c>
      <c r="AT23" s="12">
        <f t="shared" ref="AT23:BD23" si="174">AS23</f>
        <v>25578.826797750004</v>
      </c>
      <c r="AU23" s="12">
        <f t="shared" si="174"/>
        <v>25578.826797750004</v>
      </c>
      <c r="AV23" s="12">
        <f t="shared" si="174"/>
        <v>25578.826797750004</v>
      </c>
      <c r="AW23" s="12">
        <f t="shared" si="174"/>
        <v>25578.826797750004</v>
      </c>
      <c r="AX23" s="12">
        <f t="shared" si="174"/>
        <v>25578.826797750004</v>
      </c>
      <c r="AY23" s="12">
        <f t="shared" si="174"/>
        <v>25578.826797750004</v>
      </c>
      <c r="AZ23" s="12">
        <f t="shared" si="174"/>
        <v>25578.826797750004</v>
      </c>
      <c r="BA23" s="12">
        <f t="shared" si="174"/>
        <v>25578.826797750004</v>
      </c>
      <c r="BB23" s="12">
        <f t="shared" si="174"/>
        <v>25578.826797750004</v>
      </c>
      <c r="BC23" s="12">
        <f t="shared" si="174"/>
        <v>25578.826797750004</v>
      </c>
      <c r="BD23" s="12">
        <f t="shared" si="174"/>
        <v>25578.826797750004</v>
      </c>
      <c r="BE23" s="12">
        <f t="shared" si="26"/>
        <v>306945.92157300003</v>
      </c>
      <c r="BF23" s="12">
        <f>BD23*(1+'Inputs &amp; Assumptions'!$V$78)</f>
        <v>26346.191601682505</v>
      </c>
      <c r="BG23" s="12">
        <f t="shared" ref="BG23:BQ23" si="175">BF23</f>
        <v>26346.191601682505</v>
      </c>
      <c r="BH23" s="12">
        <f t="shared" si="175"/>
        <v>26346.191601682505</v>
      </c>
      <c r="BI23" s="12">
        <f t="shared" si="175"/>
        <v>26346.191601682505</v>
      </c>
      <c r="BJ23" s="12">
        <f t="shared" si="175"/>
        <v>26346.191601682505</v>
      </c>
      <c r="BK23" s="12">
        <f t="shared" si="175"/>
        <v>26346.191601682505</v>
      </c>
      <c r="BL23" s="12">
        <f t="shared" si="175"/>
        <v>26346.191601682505</v>
      </c>
      <c r="BM23" s="12">
        <f t="shared" si="175"/>
        <v>26346.191601682505</v>
      </c>
      <c r="BN23" s="12">
        <f t="shared" si="175"/>
        <v>26346.191601682505</v>
      </c>
      <c r="BO23" s="12">
        <f t="shared" si="175"/>
        <v>26346.191601682505</v>
      </c>
      <c r="BP23" s="12">
        <f t="shared" si="175"/>
        <v>26346.191601682505</v>
      </c>
      <c r="BQ23" s="12">
        <f t="shared" si="175"/>
        <v>26346.191601682505</v>
      </c>
      <c r="BR23" s="12">
        <f t="shared" si="28"/>
        <v>316154.29922019009</v>
      </c>
      <c r="BS23" s="12">
        <f>BQ23*(1+'Inputs &amp; Assumptions'!$V$78)</f>
        <v>27136.577349732983</v>
      </c>
      <c r="BT23" s="12">
        <f t="shared" ref="BT23:CD23" si="176">BS23</f>
        <v>27136.577349732983</v>
      </c>
      <c r="BU23" s="12">
        <f t="shared" si="176"/>
        <v>27136.577349732983</v>
      </c>
      <c r="BV23" s="12">
        <f t="shared" si="176"/>
        <v>27136.577349732983</v>
      </c>
      <c r="BW23" s="12">
        <f t="shared" si="176"/>
        <v>27136.577349732983</v>
      </c>
      <c r="BX23" s="12">
        <f t="shared" si="176"/>
        <v>27136.577349732983</v>
      </c>
      <c r="BY23" s="12">
        <f t="shared" si="176"/>
        <v>27136.577349732983</v>
      </c>
      <c r="BZ23" s="12">
        <f t="shared" si="176"/>
        <v>27136.577349732983</v>
      </c>
      <c r="CA23" s="12">
        <f t="shared" si="176"/>
        <v>27136.577349732983</v>
      </c>
      <c r="CB23" s="12">
        <f t="shared" si="176"/>
        <v>27136.577349732983</v>
      </c>
      <c r="CC23" s="12">
        <f t="shared" si="176"/>
        <v>27136.577349732983</v>
      </c>
      <c r="CD23" s="12">
        <f t="shared" si="176"/>
        <v>27136.577349732983</v>
      </c>
      <c r="CE23" s="12">
        <f t="shared" si="30"/>
        <v>325638.92819679581</v>
      </c>
      <c r="CF23" s="12">
        <f>CD23*(1+'Inputs &amp; Assumptions'!$V$78)</f>
        <v>27950.674670224973</v>
      </c>
      <c r="CG23" s="12">
        <f t="shared" ref="CG23:CQ23" si="177">CF23</f>
        <v>27950.674670224973</v>
      </c>
      <c r="CH23" s="12">
        <f t="shared" si="177"/>
        <v>27950.674670224973</v>
      </c>
      <c r="CI23" s="12">
        <f t="shared" si="177"/>
        <v>27950.674670224973</v>
      </c>
      <c r="CJ23" s="12">
        <f t="shared" si="177"/>
        <v>27950.674670224973</v>
      </c>
      <c r="CK23" s="12">
        <f t="shared" si="177"/>
        <v>27950.674670224973</v>
      </c>
      <c r="CL23" s="12">
        <f t="shared" si="177"/>
        <v>27950.674670224973</v>
      </c>
      <c r="CM23" s="12">
        <f t="shared" si="177"/>
        <v>27950.674670224973</v>
      </c>
      <c r="CN23" s="12">
        <f t="shared" si="177"/>
        <v>27950.674670224973</v>
      </c>
      <c r="CO23" s="12">
        <f t="shared" si="177"/>
        <v>27950.674670224973</v>
      </c>
      <c r="CP23" s="12">
        <f t="shared" si="177"/>
        <v>27950.674670224973</v>
      </c>
      <c r="CQ23" s="12">
        <f t="shared" si="177"/>
        <v>27950.674670224973</v>
      </c>
      <c r="CR23" s="12">
        <f t="shared" si="32"/>
        <v>335408.09604269965</v>
      </c>
      <c r="CS23" s="12">
        <f>CQ23*(1+'Inputs &amp; Assumptions'!$V$78)</f>
        <v>28789.194910331724</v>
      </c>
      <c r="CT23" s="12">
        <f t="shared" ref="CT23:DD23" si="178">CS23</f>
        <v>28789.194910331724</v>
      </c>
      <c r="CU23" s="12">
        <f t="shared" si="178"/>
        <v>28789.194910331724</v>
      </c>
      <c r="CV23" s="12">
        <f t="shared" si="178"/>
        <v>28789.194910331724</v>
      </c>
      <c r="CW23" s="12">
        <f t="shared" si="178"/>
        <v>28789.194910331724</v>
      </c>
      <c r="CX23" s="12">
        <f t="shared" si="178"/>
        <v>28789.194910331724</v>
      </c>
      <c r="CY23" s="12">
        <f t="shared" si="178"/>
        <v>28789.194910331724</v>
      </c>
      <c r="CZ23" s="12">
        <f t="shared" si="178"/>
        <v>28789.194910331724</v>
      </c>
      <c r="DA23" s="12">
        <f t="shared" si="178"/>
        <v>28789.194910331724</v>
      </c>
      <c r="DB23" s="12">
        <f t="shared" si="178"/>
        <v>28789.194910331724</v>
      </c>
      <c r="DC23" s="12">
        <f t="shared" si="178"/>
        <v>28789.194910331724</v>
      </c>
      <c r="DD23" s="12">
        <f t="shared" si="178"/>
        <v>28789.194910331724</v>
      </c>
      <c r="DE23" s="12">
        <f t="shared" si="34"/>
        <v>345470.33892398071</v>
      </c>
      <c r="DF23" s="12">
        <f>DD23*(1+'Inputs &amp; Assumptions'!$V$78)</f>
        <v>29652.870757641675</v>
      </c>
      <c r="DG23" s="12">
        <f t="shared" ref="DG23:DQ23" si="179">DF23</f>
        <v>29652.870757641675</v>
      </c>
      <c r="DH23" s="12">
        <f t="shared" si="179"/>
        <v>29652.870757641675</v>
      </c>
      <c r="DI23" s="12">
        <f t="shared" si="179"/>
        <v>29652.870757641675</v>
      </c>
      <c r="DJ23" s="12">
        <f t="shared" si="179"/>
        <v>29652.870757641675</v>
      </c>
      <c r="DK23" s="12">
        <f t="shared" si="179"/>
        <v>29652.870757641675</v>
      </c>
      <c r="DL23" s="12">
        <f t="shared" si="179"/>
        <v>29652.870757641675</v>
      </c>
      <c r="DM23" s="12">
        <f t="shared" si="179"/>
        <v>29652.870757641675</v>
      </c>
      <c r="DN23" s="12">
        <f t="shared" si="179"/>
        <v>29652.870757641675</v>
      </c>
      <c r="DO23" s="12">
        <f t="shared" si="179"/>
        <v>29652.870757641675</v>
      </c>
      <c r="DP23" s="12">
        <f t="shared" si="179"/>
        <v>29652.870757641675</v>
      </c>
      <c r="DQ23" s="12">
        <f t="shared" si="179"/>
        <v>29652.870757641675</v>
      </c>
      <c r="DR23" s="12">
        <f t="shared" si="36"/>
        <v>355834.44909170008</v>
      </c>
      <c r="DS23" s="12">
        <f>DQ23*(1+'Inputs &amp; Assumptions'!$V$78)</f>
        <v>30542.456880370926</v>
      </c>
      <c r="DT23" s="12">
        <f t="shared" ref="DT23:ED23" si="180">DS23</f>
        <v>30542.456880370926</v>
      </c>
      <c r="DU23" s="12">
        <f t="shared" si="180"/>
        <v>30542.456880370926</v>
      </c>
      <c r="DV23" s="12">
        <f t="shared" si="180"/>
        <v>30542.456880370926</v>
      </c>
      <c r="DW23" s="12">
        <f t="shared" si="180"/>
        <v>30542.456880370926</v>
      </c>
      <c r="DX23" s="12">
        <f t="shared" si="180"/>
        <v>30542.456880370926</v>
      </c>
      <c r="DY23" s="12">
        <f t="shared" si="180"/>
        <v>30542.456880370926</v>
      </c>
      <c r="DZ23" s="12">
        <f t="shared" si="180"/>
        <v>30542.456880370926</v>
      </c>
      <c r="EA23" s="12">
        <f t="shared" si="180"/>
        <v>30542.456880370926</v>
      </c>
      <c r="EB23" s="12">
        <f t="shared" si="180"/>
        <v>30542.456880370926</v>
      </c>
      <c r="EC23" s="12">
        <f t="shared" si="180"/>
        <v>30542.456880370926</v>
      </c>
      <c r="ED23" s="12">
        <f t="shared" si="180"/>
        <v>30542.456880370926</v>
      </c>
      <c r="EE23" s="242">
        <f>SUM(DS23:ED23)</f>
        <v>366509.482564451</v>
      </c>
      <c r="EF23" s="11"/>
    </row>
    <row r="24" spans="2:139">
      <c r="B24" s="187" t="str">
        <f>'Inputs &amp; Assumptions'!$B$33</f>
        <v>Administrative</v>
      </c>
      <c r="C24" s="1056"/>
      <c r="D24" s="1056"/>
      <c r="E24" s="156" t="e">
        <f>'Inputs &amp; Assumptions'!#REF!</f>
        <v>#REF!</v>
      </c>
      <c r="F24" s="156">
        <f>'Inputs &amp; Assumptions'!F33/12</f>
        <v>3333.3333333333335</v>
      </c>
      <c r="G24" s="156">
        <f t="shared" ref="G24:H24" si="181">F24</f>
        <v>3333.3333333333335</v>
      </c>
      <c r="H24" s="156">
        <f t="shared" si="181"/>
        <v>3333.3333333333335</v>
      </c>
      <c r="I24" s="156">
        <f t="shared" ref="I24:Q24" si="182">H24</f>
        <v>3333.3333333333335</v>
      </c>
      <c r="J24" s="156">
        <f t="shared" si="182"/>
        <v>3333.3333333333335</v>
      </c>
      <c r="K24" s="156">
        <f t="shared" si="182"/>
        <v>3333.3333333333335</v>
      </c>
      <c r="L24" s="156">
        <f t="shared" si="182"/>
        <v>3333.3333333333335</v>
      </c>
      <c r="M24" s="156">
        <f t="shared" si="182"/>
        <v>3333.3333333333335</v>
      </c>
      <c r="N24" s="156">
        <f t="shared" si="182"/>
        <v>3333.3333333333335</v>
      </c>
      <c r="O24" s="156">
        <f t="shared" si="182"/>
        <v>3333.3333333333335</v>
      </c>
      <c r="P24" s="156">
        <f t="shared" si="182"/>
        <v>3333.3333333333335</v>
      </c>
      <c r="Q24" s="156">
        <f t="shared" si="182"/>
        <v>3333.3333333333335</v>
      </c>
      <c r="R24" s="156">
        <f t="shared" si="138"/>
        <v>40000</v>
      </c>
      <c r="S24" s="156">
        <f>Q24*(1+'Inputs &amp; Assumptions'!$V$75)</f>
        <v>3433.3333333333335</v>
      </c>
      <c r="T24" s="156">
        <f t="shared" ref="T24:AD24" si="183">S24</f>
        <v>3433.3333333333335</v>
      </c>
      <c r="U24" s="156">
        <f t="shared" si="183"/>
        <v>3433.3333333333335</v>
      </c>
      <c r="V24" s="156">
        <f t="shared" si="183"/>
        <v>3433.3333333333335</v>
      </c>
      <c r="W24" s="156">
        <f t="shared" si="183"/>
        <v>3433.3333333333335</v>
      </c>
      <c r="X24" s="156">
        <f t="shared" si="183"/>
        <v>3433.3333333333335</v>
      </c>
      <c r="Y24" s="156">
        <f t="shared" si="183"/>
        <v>3433.3333333333335</v>
      </c>
      <c r="Z24" s="156">
        <f t="shared" si="183"/>
        <v>3433.3333333333335</v>
      </c>
      <c r="AA24" s="156">
        <f t="shared" si="183"/>
        <v>3433.3333333333335</v>
      </c>
      <c r="AB24" s="156">
        <f t="shared" si="183"/>
        <v>3433.3333333333335</v>
      </c>
      <c r="AC24" s="156">
        <f t="shared" si="183"/>
        <v>3433.3333333333335</v>
      </c>
      <c r="AD24" s="156">
        <f t="shared" si="183"/>
        <v>3433.3333333333335</v>
      </c>
      <c r="AE24" s="156">
        <f t="shared" si="127"/>
        <v>41200</v>
      </c>
      <c r="AF24" s="156">
        <f>AD24*(1+'Inputs &amp; Assumptions'!$V$76)</f>
        <v>3536.3333333333335</v>
      </c>
      <c r="AG24" s="156">
        <f t="shared" ref="AG24:AQ24" si="184">AF24</f>
        <v>3536.3333333333335</v>
      </c>
      <c r="AH24" s="156">
        <f t="shared" si="184"/>
        <v>3536.3333333333335</v>
      </c>
      <c r="AI24" s="156">
        <f t="shared" si="184"/>
        <v>3536.3333333333335</v>
      </c>
      <c r="AJ24" s="156">
        <f t="shared" si="184"/>
        <v>3536.3333333333335</v>
      </c>
      <c r="AK24" s="156">
        <f t="shared" si="184"/>
        <v>3536.3333333333335</v>
      </c>
      <c r="AL24" s="156">
        <f t="shared" si="184"/>
        <v>3536.3333333333335</v>
      </c>
      <c r="AM24" s="156">
        <f t="shared" si="184"/>
        <v>3536.3333333333335</v>
      </c>
      <c r="AN24" s="156">
        <f t="shared" si="184"/>
        <v>3536.3333333333335</v>
      </c>
      <c r="AO24" s="156">
        <f t="shared" si="184"/>
        <v>3536.3333333333335</v>
      </c>
      <c r="AP24" s="156">
        <f t="shared" si="184"/>
        <v>3536.3333333333335</v>
      </c>
      <c r="AQ24" s="156">
        <f t="shared" si="184"/>
        <v>3536.3333333333335</v>
      </c>
      <c r="AR24" s="156">
        <f t="shared" si="24"/>
        <v>42436</v>
      </c>
      <c r="AS24" s="156">
        <f>AQ24*(1+'Inputs &amp; Assumptions'!$V$77)</f>
        <v>3642.4233333333336</v>
      </c>
      <c r="AT24" s="156">
        <f t="shared" ref="AT24:BD24" si="185">AS24</f>
        <v>3642.4233333333336</v>
      </c>
      <c r="AU24" s="156">
        <f t="shared" si="185"/>
        <v>3642.4233333333336</v>
      </c>
      <c r="AV24" s="156">
        <f t="shared" si="185"/>
        <v>3642.4233333333336</v>
      </c>
      <c r="AW24" s="156">
        <f t="shared" si="185"/>
        <v>3642.4233333333336</v>
      </c>
      <c r="AX24" s="156">
        <f t="shared" si="185"/>
        <v>3642.4233333333336</v>
      </c>
      <c r="AY24" s="156">
        <f t="shared" si="185"/>
        <v>3642.4233333333336</v>
      </c>
      <c r="AZ24" s="156">
        <f t="shared" si="185"/>
        <v>3642.4233333333336</v>
      </c>
      <c r="BA24" s="156">
        <f t="shared" si="185"/>
        <v>3642.4233333333336</v>
      </c>
      <c r="BB24" s="156">
        <f t="shared" si="185"/>
        <v>3642.4233333333336</v>
      </c>
      <c r="BC24" s="156">
        <f t="shared" si="185"/>
        <v>3642.4233333333336</v>
      </c>
      <c r="BD24" s="156">
        <f t="shared" si="185"/>
        <v>3642.4233333333336</v>
      </c>
      <c r="BE24" s="156">
        <f t="shared" si="26"/>
        <v>43709.079999999994</v>
      </c>
      <c r="BF24" s="156">
        <f>BD24*(1+'Inputs &amp; Assumptions'!$V$78)</f>
        <v>3751.6960333333336</v>
      </c>
      <c r="BG24" s="156">
        <f t="shared" ref="BG24:BQ24" si="186">BF24</f>
        <v>3751.6960333333336</v>
      </c>
      <c r="BH24" s="156">
        <f t="shared" si="186"/>
        <v>3751.6960333333336</v>
      </c>
      <c r="BI24" s="156">
        <f t="shared" si="186"/>
        <v>3751.6960333333336</v>
      </c>
      <c r="BJ24" s="156">
        <f t="shared" si="186"/>
        <v>3751.6960333333336</v>
      </c>
      <c r="BK24" s="156">
        <f t="shared" si="186"/>
        <v>3751.6960333333336</v>
      </c>
      <c r="BL24" s="156">
        <f t="shared" si="186"/>
        <v>3751.6960333333336</v>
      </c>
      <c r="BM24" s="156">
        <f t="shared" si="186"/>
        <v>3751.6960333333336</v>
      </c>
      <c r="BN24" s="156">
        <f t="shared" si="186"/>
        <v>3751.6960333333336</v>
      </c>
      <c r="BO24" s="156">
        <f t="shared" si="186"/>
        <v>3751.6960333333336</v>
      </c>
      <c r="BP24" s="156">
        <f t="shared" si="186"/>
        <v>3751.6960333333336</v>
      </c>
      <c r="BQ24" s="156">
        <f t="shared" si="186"/>
        <v>3751.6960333333336</v>
      </c>
      <c r="BR24" s="156">
        <f t="shared" si="28"/>
        <v>45020.352400000003</v>
      </c>
      <c r="BS24" s="156">
        <f>BQ24*(1+'Inputs &amp; Assumptions'!$V$78)</f>
        <v>3864.2469143333337</v>
      </c>
      <c r="BT24" s="156">
        <f t="shared" ref="BT24:CD24" si="187">BS24</f>
        <v>3864.2469143333337</v>
      </c>
      <c r="BU24" s="156">
        <f t="shared" si="187"/>
        <v>3864.2469143333337</v>
      </c>
      <c r="BV24" s="156">
        <f t="shared" si="187"/>
        <v>3864.2469143333337</v>
      </c>
      <c r="BW24" s="156">
        <f t="shared" si="187"/>
        <v>3864.2469143333337</v>
      </c>
      <c r="BX24" s="156">
        <f t="shared" si="187"/>
        <v>3864.2469143333337</v>
      </c>
      <c r="BY24" s="156">
        <f t="shared" si="187"/>
        <v>3864.2469143333337</v>
      </c>
      <c r="BZ24" s="156">
        <f t="shared" si="187"/>
        <v>3864.2469143333337</v>
      </c>
      <c r="CA24" s="156">
        <f t="shared" si="187"/>
        <v>3864.2469143333337</v>
      </c>
      <c r="CB24" s="156">
        <f t="shared" si="187"/>
        <v>3864.2469143333337</v>
      </c>
      <c r="CC24" s="156">
        <f t="shared" si="187"/>
        <v>3864.2469143333337</v>
      </c>
      <c r="CD24" s="156">
        <f t="shared" si="187"/>
        <v>3864.2469143333337</v>
      </c>
      <c r="CE24" s="156">
        <f t="shared" si="30"/>
        <v>46370.962972000008</v>
      </c>
      <c r="CF24" s="156">
        <f>CD24*(1+'Inputs &amp; Assumptions'!$V$78)</f>
        <v>3980.1743217633339</v>
      </c>
      <c r="CG24" s="156">
        <f t="shared" ref="CG24:CQ24" si="188">CF24</f>
        <v>3980.1743217633339</v>
      </c>
      <c r="CH24" s="156">
        <f t="shared" si="188"/>
        <v>3980.1743217633339</v>
      </c>
      <c r="CI24" s="156">
        <f t="shared" si="188"/>
        <v>3980.1743217633339</v>
      </c>
      <c r="CJ24" s="156">
        <f t="shared" si="188"/>
        <v>3980.1743217633339</v>
      </c>
      <c r="CK24" s="156">
        <f t="shared" si="188"/>
        <v>3980.1743217633339</v>
      </c>
      <c r="CL24" s="156">
        <f t="shared" si="188"/>
        <v>3980.1743217633339</v>
      </c>
      <c r="CM24" s="156">
        <f t="shared" si="188"/>
        <v>3980.1743217633339</v>
      </c>
      <c r="CN24" s="156">
        <f t="shared" si="188"/>
        <v>3980.1743217633339</v>
      </c>
      <c r="CO24" s="156">
        <f t="shared" si="188"/>
        <v>3980.1743217633339</v>
      </c>
      <c r="CP24" s="156">
        <f t="shared" si="188"/>
        <v>3980.1743217633339</v>
      </c>
      <c r="CQ24" s="156">
        <f t="shared" si="188"/>
        <v>3980.1743217633339</v>
      </c>
      <c r="CR24" s="156">
        <f t="shared" si="32"/>
        <v>47762.091861160006</v>
      </c>
      <c r="CS24" s="156">
        <f>CQ24*(1+'Inputs &amp; Assumptions'!$V$78)</f>
        <v>4099.5795514162337</v>
      </c>
      <c r="CT24" s="156">
        <f t="shared" ref="CT24:DD24" si="189">CS24</f>
        <v>4099.5795514162337</v>
      </c>
      <c r="CU24" s="156">
        <f t="shared" si="189"/>
        <v>4099.5795514162337</v>
      </c>
      <c r="CV24" s="156">
        <f t="shared" si="189"/>
        <v>4099.5795514162337</v>
      </c>
      <c r="CW24" s="156">
        <f t="shared" si="189"/>
        <v>4099.5795514162337</v>
      </c>
      <c r="CX24" s="156">
        <f t="shared" si="189"/>
        <v>4099.5795514162337</v>
      </c>
      <c r="CY24" s="156">
        <f t="shared" si="189"/>
        <v>4099.5795514162337</v>
      </c>
      <c r="CZ24" s="156">
        <f t="shared" si="189"/>
        <v>4099.5795514162337</v>
      </c>
      <c r="DA24" s="156">
        <f t="shared" si="189"/>
        <v>4099.5795514162337</v>
      </c>
      <c r="DB24" s="156">
        <f t="shared" si="189"/>
        <v>4099.5795514162337</v>
      </c>
      <c r="DC24" s="156">
        <f t="shared" si="189"/>
        <v>4099.5795514162337</v>
      </c>
      <c r="DD24" s="156">
        <f t="shared" si="189"/>
        <v>4099.5795514162337</v>
      </c>
      <c r="DE24" s="156">
        <f t="shared" si="34"/>
        <v>49194.954616994793</v>
      </c>
      <c r="DF24" s="156">
        <f>DD24*(1+'Inputs &amp; Assumptions'!$V$78)</f>
        <v>4222.5669379587207</v>
      </c>
      <c r="DG24" s="156">
        <f t="shared" ref="DG24:DQ24" si="190">DF24</f>
        <v>4222.5669379587207</v>
      </c>
      <c r="DH24" s="156">
        <f t="shared" si="190"/>
        <v>4222.5669379587207</v>
      </c>
      <c r="DI24" s="156">
        <f t="shared" si="190"/>
        <v>4222.5669379587207</v>
      </c>
      <c r="DJ24" s="156">
        <f t="shared" si="190"/>
        <v>4222.5669379587207</v>
      </c>
      <c r="DK24" s="156">
        <f t="shared" si="190"/>
        <v>4222.5669379587207</v>
      </c>
      <c r="DL24" s="156">
        <f t="shared" si="190"/>
        <v>4222.5669379587207</v>
      </c>
      <c r="DM24" s="156">
        <f t="shared" si="190"/>
        <v>4222.5669379587207</v>
      </c>
      <c r="DN24" s="156">
        <f t="shared" si="190"/>
        <v>4222.5669379587207</v>
      </c>
      <c r="DO24" s="156">
        <f t="shared" si="190"/>
        <v>4222.5669379587207</v>
      </c>
      <c r="DP24" s="156">
        <f t="shared" si="190"/>
        <v>4222.5669379587207</v>
      </c>
      <c r="DQ24" s="156">
        <f t="shared" si="190"/>
        <v>4222.5669379587207</v>
      </c>
      <c r="DR24" s="156">
        <f t="shared" si="36"/>
        <v>50670.803255504645</v>
      </c>
      <c r="DS24" s="156">
        <f>DQ24*(1+'Inputs &amp; Assumptions'!$V$78)</f>
        <v>4349.2439460974829</v>
      </c>
      <c r="DT24" s="156">
        <f t="shared" ref="DT24:ED24" si="191">DS24</f>
        <v>4349.2439460974829</v>
      </c>
      <c r="DU24" s="156">
        <f t="shared" si="191"/>
        <v>4349.2439460974829</v>
      </c>
      <c r="DV24" s="156">
        <f t="shared" si="191"/>
        <v>4349.2439460974829</v>
      </c>
      <c r="DW24" s="156">
        <f t="shared" si="191"/>
        <v>4349.2439460974829</v>
      </c>
      <c r="DX24" s="156">
        <f t="shared" si="191"/>
        <v>4349.2439460974829</v>
      </c>
      <c r="DY24" s="156">
        <f t="shared" si="191"/>
        <v>4349.2439460974829</v>
      </c>
      <c r="DZ24" s="156">
        <f t="shared" si="191"/>
        <v>4349.2439460974829</v>
      </c>
      <c r="EA24" s="156">
        <f t="shared" si="191"/>
        <v>4349.2439460974829</v>
      </c>
      <c r="EB24" s="156">
        <f t="shared" si="191"/>
        <v>4349.2439460974829</v>
      </c>
      <c r="EC24" s="156">
        <f t="shared" si="191"/>
        <v>4349.2439460974829</v>
      </c>
      <c r="ED24" s="156">
        <f t="shared" si="191"/>
        <v>4349.2439460974829</v>
      </c>
      <c r="EE24" s="243">
        <f t="shared" si="38"/>
        <v>52190.927353169805</v>
      </c>
      <c r="EF24" s="11"/>
    </row>
    <row r="25" spans="2:139">
      <c r="B25" s="161" t="str">
        <f>'Inputs &amp; Assumptions'!$B$34</f>
        <v>Marketing</v>
      </c>
      <c r="E25" s="12" t="e">
        <f>'Inputs &amp; Assumptions'!#REF!</f>
        <v>#REF!</v>
      </c>
      <c r="F25" s="12">
        <f>'Inputs &amp; Assumptions'!F34/12</f>
        <v>2500</v>
      </c>
      <c r="G25" s="12">
        <f t="shared" ref="G25:H25" si="192">F25</f>
        <v>2500</v>
      </c>
      <c r="H25" s="12">
        <f t="shared" si="192"/>
        <v>2500</v>
      </c>
      <c r="I25" s="12">
        <f t="shared" ref="I25:Q25" si="193">H25</f>
        <v>2500</v>
      </c>
      <c r="J25" s="12">
        <f t="shared" si="193"/>
        <v>2500</v>
      </c>
      <c r="K25" s="12">
        <f t="shared" si="193"/>
        <v>2500</v>
      </c>
      <c r="L25" s="12">
        <f t="shared" si="193"/>
        <v>2500</v>
      </c>
      <c r="M25" s="12">
        <f t="shared" si="193"/>
        <v>2500</v>
      </c>
      <c r="N25" s="12">
        <f t="shared" si="193"/>
        <v>2500</v>
      </c>
      <c r="O25" s="12">
        <f t="shared" si="193"/>
        <v>2500</v>
      </c>
      <c r="P25" s="12">
        <f t="shared" si="193"/>
        <v>2500</v>
      </c>
      <c r="Q25" s="12">
        <f t="shared" si="193"/>
        <v>2500</v>
      </c>
      <c r="R25" s="12">
        <f t="shared" si="138"/>
        <v>30000</v>
      </c>
      <c r="S25" s="12">
        <f>Q25*(1+'Inputs &amp; Assumptions'!$V$75)</f>
        <v>2575</v>
      </c>
      <c r="T25" s="12">
        <f t="shared" ref="T25:AD25" si="194">S25</f>
        <v>2575</v>
      </c>
      <c r="U25" s="12">
        <f t="shared" si="194"/>
        <v>2575</v>
      </c>
      <c r="V25" s="12">
        <f t="shared" si="194"/>
        <v>2575</v>
      </c>
      <c r="W25" s="12">
        <f t="shared" si="194"/>
        <v>2575</v>
      </c>
      <c r="X25" s="12">
        <f t="shared" si="194"/>
        <v>2575</v>
      </c>
      <c r="Y25" s="12">
        <f t="shared" si="194"/>
        <v>2575</v>
      </c>
      <c r="Z25" s="12">
        <f t="shared" si="194"/>
        <v>2575</v>
      </c>
      <c r="AA25" s="12">
        <f t="shared" si="194"/>
        <v>2575</v>
      </c>
      <c r="AB25" s="12">
        <f t="shared" si="194"/>
        <v>2575</v>
      </c>
      <c r="AC25" s="12">
        <f t="shared" si="194"/>
        <v>2575</v>
      </c>
      <c r="AD25" s="12">
        <f t="shared" si="194"/>
        <v>2575</v>
      </c>
      <c r="AE25" s="12">
        <f t="shared" si="127"/>
        <v>30900</v>
      </c>
      <c r="AF25" s="12">
        <f>AD25*(1+'Inputs &amp; Assumptions'!$V$76)</f>
        <v>2652.25</v>
      </c>
      <c r="AG25" s="12">
        <f t="shared" ref="AG25:AQ25" si="195">AF25</f>
        <v>2652.25</v>
      </c>
      <c r="AH25" s="12">
        <f t="shared" si="195"/>
        <v>2652.25</v>
      </c>
      <c r="AI25" s="12">
        <f t="shared" si="195"/>
        <v>2652.25</v>
      </c>
      <c r="AJ25" s="12">
        <f t="shared" si="195"/>
        <v>2652.25</v>
      </c>
      <c r="AK25" s="12">
        <f t="shared" si="195"/>
        <v>2652.25</v>
      </c>
      <c r="AL25" s="12">
        <f t="shared" si="195"/>
        <v>2652.25</v>
      </c>
      <c r="AM25" s="12">
        <f t="shared" si="195"/>
        <v>2652.25</v>
      </c>
      <c r="AN25" s="12">
        <f t="shared" si="195"/>
        <v>2652.25</v>
      </c>
      <c r="AO25" s="12">
        <f t="shared" si="195"/>
        <v>2652.25</v>
      </c>
      <c r="AP25" s="12">
        <f t="shared" si="195"/>
        <v>2652.25</v>
      </c>
      <c r="AQ25" s="12">
        <f t="shared" si="195"/>
        <v>2652.25</v>
      </c>
      <c r="AR25" s="12">
        <f t="shared" si="24"/>
        <v>31827</v>
      </c>
      <c r="AS25" s="12">
        <f>AQ25*(1+'Inputs &amp; Assumptions'!$V$77)</f>
        <v>2731.8175000000001</v>
      </c>
      <c r="AT25" s="12">
        <f t="shared" ref="AT25:BD25" si="196">AS25</f>
        <v>2731.8175000000001</v>
      </c>
      <c r="AU25" s="12">
        <f t="shared" si="196"/>
        <v>2731.8175000000001</v>
      </c>
      <c r="AV25" s="12">
        <f t="shared" si="196"/>
        <v>2731.8175000000001</v>
      </c>
      <c r="AW25" s="12">
        <f t="shared" si="196"/>
        <v>2731.8175000000001</v>
      </c>
      <c r="AX25" s="12">
        <f t="shared" si="196"/>
        <v>2731.8175000000001</v>
      </c>
      <c r="AY25" s="12">
        <f t="shared" si="196"/>
        <v>2731.8175000000001</v>
      </c>
      <c r="AZ25" s="12">
        <f t="shared" si="196"/>
        <v>2731.8175000000001</v>
      </c>
      <c r="BA25" s="12">
        <f t="shared" si="196"/>
        <v>2731.8175000000001</v>
      </c>
      <c r="BB25" s="12">
        <f t="shared" si="196"/>
        <v>2731.8175000000001</v>
      </c>
      <c r="BC25" s="12">
        <f t="shared" si="196"/>
        <v>2731.8175000000001</v>
      </c>
      <c r="BD25" s="12">
        <f t="shared" si="196"/>
        <v>2731.8175000000001</v>
      </c>
      <c r="BE25" s="12">
        <f t="shared" si="26"/>
        <v>32781.810000000005</v>
      </c>
      <c r="BF25" s="12">
        <f>BD25*(1+'Inputs &amp; Assumptions'!$V$78)</f>
        <v>2813.7720250000002</v>
      </c>
      <c r="BG25" s="12">
        <f t="shared" ref="BG25:BQ25" si="197">BF25</f>
        <v>2813.7720250000002</v>
      </c>
      <c r="BH25" s="12">
        <f t="shared" si="197"/>
        <v>2813.7720250000002</v>
      </c>
      <c r="BI25" s="12">
        <f t="shared" si="197"/>
        <v>2813.7720250000002</v>
      </c>
      <c r="BJ25" s="12">
        <f t="shared" si="197"/>
        <v>2813.7720250000002</v>
      </c>
      <c r="BK25" s="12">
        <f t="shared" si="197"/>
        <v>2813.7720250000002</v>
      </c>
      <c r="BL25" s="12">
        <f t="shared" si="197"/>
        <v>2813.7720250000002</v>
      </c>
      <c r="BM25" s="12">
        <f t="shared" si="197"/>
        <v>2813.7720250000002</v>
      </c>
      <c r="BN25" s="12">
        <f t="shared" si="197"/>
        <v>2813.7720250000002</v>
      </c>
      <c r="BO25" s="12">
        <f t="shared" si="197"/>
        <v>2813.7720250000002</v>
      </c>
      <c r="BP25" s="12">
        <f t="shared" si="197"/>
        <v>2813.7720250000002</v>
      </c>
      <c r="BQ25" s="12">
        <f t="shared" si="197"/>
        <v>2813.7720250000002</v>
      </c>
      <c r="BR25" s="12">
        <f t="shared" si="28"/>
        <v>33765.264299999995</v>
      </c>
      <c r="BS25" s="12">
        <f>BQ25*(1+'Inputs &amp; Assumptions'!$V$78)</f>
        <v>2898.1851857500001</v>
      </c>
      <c r="BT25" s="12">
        <f t="shared" ref="BT25:CD25" si="198">BS25</f>
        <v>2898.1851857500001</v>
      </c>
      <c r="BU25" s="12">
        <f t="shared" si="198"/>
        <v>2898.1851857500001</v>
      </c>
      <c r="BV25" s="12">
        <f t="shared" si="198"/>
        <v>2898.1851857500001</v>
      </c>
      <c r="BW25" s="12">
        <f t="shared" si="198"/>
        <v>2898.1851857500001</v>
      </c>
      <c r="BX25" s="12">
        <f t="shared" si="198"/>
        <v>2898.1851857500001</v>
      </c>
      <c r="BY25" s="12">
        <f t="shared" si="198"/>
        <v>2898.1851857500001</v>
      </c>
      <c r="BZ25" s="12">
        <f t="shared" si="198"/>
        <v>2898.1851857500001</v>
      </c>
      <c r="CA25" s="12">
        <f t="shared" si="198"/>
        <v>2898.1851857500001</v>
      </c>
      <c r="CB25" s="12">
        <f t="shared" si="198"/>
        <v>2898.1851857500001</v>
      </c>
      <c r="CC25" s="12">
        <f t="shared" si="198"/>
        <v>2898.1851857500001</v>
      </c>
      <c r="CD25" s="12">
        <f t="shared" si="198"/>
        <v>2898.1851857500001</v>
      </c>
      <c r="CE25" s="12">
        <f t="shared" si="30"/>
        <v>34778.222228999999</v>
      </c>
      <c r="CF25" s="12">
        <f>CD25*(1+'Inputs &amp; Assumptions'!$V$78)</f>
        <v>2985.1307413224999</v>
      </c>
      <c r="CG25" s="12">
        <f t="shared" ref="CG25:CQ25" si="199">CF25</f>
        <v>2985.1307413224999</v>
      </c>
      <c r="CH25" s="12">
        <f t="shared" si="199"/>
        <v>2985.1307413224999</v>
      </c>
      <c r="CI25" s="12">
        <f t="shared" si="199"/>
        <v>2985.1307413224999</v>
      </c>
      <c r="CJ25" s="12">
        <f t="shared" si="199"/>
        <v>2985.1307413224999</v>
      </c>
      <c r="CK25" s="12">
        <f t="shared" si="199"/>
        <v>2985.1307413224999</v>
      </c>
      <c r="CL25" s="12">
        <f t="shared" si="199"/>
        <v>2985.1307413224999</v>
      </c>
      <c r="CM25" s="12">
        <f t="shared" si="199"/>
        <v>2985.1307413224999</v>
      </c>
      <c r="CN25" s="12">
        <f t="shared" si="199"/>
        <v>2985.1307413224999</v>
      </c>
      <c r="CO25" s="12">
        <f t="shared" si="199"/>
        <v>2985.1307413224999</v>
      </c>
      <c r="CP25" s="12">
        <f t="shared" si="199"/>
        <v>2985.1307413224999</v>
      </c>
      <c r="CQ25" s="12">
        <f t="shared" si="199"/>
        <v>2985.1307413224999</v>
      </c>
      <c r="CR25" s="12">
        <f t="shared" si="32"/>
        <v>35821.568895869998</v>
      </c>
      <c r="CS25" s="12">
        <f>CQ25*(1+'Inputs &amp; Assumptions'!$V$78)</f>
        <v>3074.684663562175</v>
      </c>
      <c r="CT25" s="12">
        <f t="shared" ref="CT25:DD25" si="200">CS25</f>
        <v>3074.684663562175</v>
      </c>
      <c r="CU25" s="12">
        <f t="shared" si="200"/>
        <v>3074.684663562175</v>
      </c>
      <c r="CV25" s="12">
        <f t="shared" si="200"/>
        <v>3074.684663562175</v>
      </c>
      <c r="CW25" s="12">
        <f t="shared" si="200"/>
        <v>3074.684663562175</v>
      </c>
      <c r="CX25" s="12">
        <f t="shared" si="200"/>
        <v>3074.684663562175</v>
      </c>
      <c r="CY25" s="12">
        <f t="shared" si="200"/>
        <v>3074.684663562175</v>
      </c>
      <c r="CZ25" s="12">
        <f t="shared" si="200"/>
        <v>3074.684663562175</v>
      </c>
      <c r="DA25" s="12">
        <f t="shared" si="200"/>
        <v>3074.684663562175</v>
      </c>
      <c r="DB25" s="12">
        <f t="shared" si="200"/>
        <v>3074.684663562175</v>
      </c>
      <c r="DC25" s="12">
        <f t="shared" si="200"/>
        <v>3074.684663562175</v>
      </c>
      <c r="DD25" s="12">
        <f t="shared" si="200"/>
        <v>3074.684663562175</v>
      </c>
      <c r="DE25" s="12">
        <f t="shared" si="34"/>
        <v>36896.215962746108</v>
      </c>
      <c r="DF25" s="12">
        <f>DD25*(1+'Inputs &amp; Assumptions'!$V$78)</f>
        <v>3166.9252034690403</v>
      </c>
      <c r="DG25" s="12">
        <f t="shared" ref="DG25:DQ25" si="201">DF25</f>
        <v>3166.9252034690403</v>
      </c>
      <c r="DH25" s="12">
        <f t="shared" si="201"/>
        <v>3166.9252034690403</v>
      </c>
      <c r="DI25" s="12">
        <f t="shared" si="201"/>
        <v>3166.9252034690403</v>
      </c>
      <c r="DJ25" s="12">
        <f t="shared" si="201"/>
        <v>3166.9252034690403</v>
      </c>
      <c r="DK25" s="12">
        <f t="shared" si="201"/>
        <v>3166.9252034690403</v>
      </c>
      <c r="DL25" s="12">
        <f t="shared" si="201"/>
        <v>3166.9252034690403</v>
      </c>
      <c r="DM25" s="12">
        <f t="shared" si="201"/>
        <v>3166.9252034690403</v>
      </c>
      <c r="DN25" s="12">
        <f t="shared" si="201"/>
        <v>3166.9252034690403</v>
      </c>
      <c r="DO25" s="12">
        <f t="shared" si="201"/>
        <v>3166.9252034690403</v>
      </c>
      <c r="DP25" s="12">
        <f t="shared" si="201"/>
        <v>3166.9252034690403</v>
      </c>
      <c r="DQ25" s="12">
        <f t="shared" si="201"/>
        <v>3166.9252034690403</v>
      </c>
      <c r="DR25" s="12">
        <f t="shared" si="36"/>
        <v>38003.102441628485</v>
      </c>
      <c r="DS25" s="12">
        <f>DQ25*(1+'Inputs &amp; Assumptions'!$V$78)</f>
        <v>3261.9329595731115</v>
      </c>
      <c r="DT25" s="12">
        <f t="shared" ref="DT25:ED25" si="202">DS25</f>
        <v>3261.9329595731115</v>
      </c>
      <c r="DU25" s="12">
        <f t="shared" si="202"/>
        <v>3261.9329595731115</v>
      </c>
      <c r="DV25" s="12">
        <f t="shared" si="202"/>
        <v>3261.9329595731115</v>
      </c>
      <c r="DW25" s="12">
        <f t="shared" si="202"/>
        <v>3261.9329595731115</v>
      </c>
      <c r="DX25" s="12">
        <f t="shared" si="202"/>
        <v>3261.9329595731115</v>
      </c>
      <c r="DY25" s="12">
        <f t="shared" si="202"/>
        <v>3261.9329595731115</v>
      </c>
      <c r="DZ25" s="12">
        <f t="shared" si="202"/>
        <v>3261.9329595731115</v>
      </c>
      <c r="EA25" s="12">
        <f t="shared" si="202"/>
        <v>3261.9329595731115</v>
      </c>
      <c r="EB25" s="12">
        <f t="shared" si="202"/>
        <v>3261.9329595731115</v>
      </c>
      <c r="EC25" s="12">
        <f t="shared" si="202"/>
        <v>3261.9329595731115</v>
      </c>
      <c r="ED25" s="12">
        <f t="shared" si="202"/>
        <v>3261.9329595731115</v>
      </c>
      <c r="EE25" s="242">
        <f t="shared" si="38"/>
        <v>39143.195514877334</v>
      </c>
      <c r="EF25" s="11"/>
    </row>
    <row r="26" spans="2:139">
      <c r="B26" s="187" t="str">
        <f>'Inputs &amp; Assumptions'!$B$35</f>
        <v>Other</v>
      </c>
      <c r="C26" s="1056"/>
      <c r="D26" s="1056"/>
      <c r="E26" s="156" t="e">
        <f>'Inputs &amp; Assumptions'!#REF!</f>
        <v>#REF!</v>
      </c>
      <c r="F26" s="156">
        <f>'Inputs &amp; Assumptions'!F35/12</f>
        <v>83.416666666666671</v>
      </c>
      <c r="G26" s="156">
        <f t="shared" ref="G26:H26" si="203">F26</f>
        <v>83.416666666666671</v>
      </c>
      <c r="H26" s="156">
        <f t="shared" si="203"/>
        <v>83.416666666666671</v>
      </c>
      <c r="I26" s="156">
        <f t="shared" ref="I26:Q26" si="204">H26</f>
        <v>83.416666666666671</v>
      </c>
      <c r="J26" s="156">
        <f t="shared" si="204"/>
        <v>83.416666666666671</v>
      </c>
      <c r="K26" s="156">
        <f t="shared" si="204"/>
        <v>83.416666666666671</v>
      </c>
      <c r="L26" s="156">
        <f t="shared" si="204"/>
        <v>83.416666666666671</v>
      </c>
      <c r="M26" s="156">
        <f t="shared" si="204"/>
        <v>83.416666666666671</v>
      </c>
      <c r="N26" s="156">
        <f t="shared" si="204"/>
        <v>83.416666666666671</v>
      </c>
      <c r="O26" s="156">
        <f t="shared" si="204"/>
        <v>83.416666666666671</v>
      </c>
      <c r="P26" s="156">
        <f t="shared" si="204"/>
        <v>83.416666666666671</v>
      </c>
      <c r="Q26" s="156">
        <f t="shared" si="204"/>
        <v>83.416666666666671</v>
      </c>
      <c r="R26" s="156">
        <f t="shared" si="138"/>
        <v>1000.9999999999999</v>
      </c>
      <c r="S26" s="156">
        <f>Q26*(1+'Inputs &amp; Assumptions'!$V$75)</f>
        <v>85.919166666666669</v>
      </c>
      <c r="T26" s="156">
        <f t="shared" ref="T26:AD26" si="205">S26</f>
        <v>85.919166666666669</v>
      </c>
      <c r="U26" s="156">
        <f t="shared" si="205"/>
        <v>85.919166666666669</v>
      </c>
      <c r="V26" s="156">
        <f t="shared" si="205"/>
        <v>85.919166666666669</v>
      </c>
      <c r="W26" s="156">
        <f t="shared" si="205"/>
        <v>85.919166666666669</v>
      </c>
      <c r="X26" s="156">
        <f t="shared" si="205"/>
        <v>85.919166666666669</v>
      </c>
      <c r="Y26" s="156">
        <f t="shared" si="205"/>
        <v>85.919166666666669</v>
      </c>
      <c r="Z26" s="156">
        <f t="shared" si="205"/>
        <v>85.919166666666669</v>
      </c>
      <c r="AA26" s="156">
        <f t="shared" si="205"/>
        <v>85.919166666666669</v>
      </c>
      <c r="AB26" s="156">
        <f t="shared" si="205"/>
        <v>85.919166666666669</v>
      </c>
      <c r="AC26" s="156">
        <f t="shared" si="205"/>
        <v>85.919166666666669</v>
      </c>
      <c r="AD26" s="156">
        <f t="shared" si="205"/>
        <v>85.919166666666669</v>
      </c>
      <c r="AE26" s="156">
        <f t="shared" si="127"/>
        <v>1031.03</v>
      </c>
      <c r="AF26" s="156">
        <f>AD26*(1+'Inputs &amp; Assumptions'!$V$76)</f>
        <v>88.496741666666665</v>
      </c>
      <c r="AG26" s="156">
        <f t="shared" ref="AG26:AQ26" si="206">AF26</f>
        <v>88.496741666666665</v>
      </c>
      <c r="AH26" s="156">
        <f t="shared" si="206"/>
        <v>88.496741666666665</v>
      </c>
      <c r="AI26" s="156">
        <f t="shared" si="206"/>
        <v>88.496741666666665</v>
      </c>
      <c r="AJ26" s="156">
        <f t="shared" si="206"/>
        <v>88.496741666666665</v>
      </c>
      <c r="AK26" s="156">
        <f t="shared" si="206"/>
        <v>88.496741666666665</v>
      </c>
      <c r="AL26" s="156">
        <f t="shared" si="206"/>
        <v>88.496741666666665</v>
      </c>
      <c r="AM26" s="156">
        <f t="shared" si="206"/>
        <v>88.496741666666665</v>
      </c>
      <c r="AN26" s="156">
        <f t="shared" si="206"/>
        <v>88.496741666666665</v>
      </c>
      <c r="AO26" s="156">
        <f t="shared" si="206"/>
        <v>88.496741666666665</v>
      </c>
      <c r="AP26" s="156">
        <f t="shared" si="206"/>
        <v>88.496741666666665</v>
      </c>
      <c r="AQ26" s="156">
        <f t="shared" si="206"/>
        <v>88.496741666666665</v>
      </c>
      <c r="AR26" s="156">
        <f t="shared" si="24"/>
        <v>1061.9609000000003</v>
      </c>
      <c r="AS26" s="156">
        <f>AQ26*(1+'Inputs &amp; Assumptions'!$V$77)</f>
        <v>91.151643916666671</v>
      </c>
      <c r="AT26" s="156">
        <f t="shared" ref="AT26:BD26" si="207">AS26</f>
        <v>91.151643916666671</v>
      </c>
      <c r="AU26" s="156">
        <f t="shared" si="207"/>
        <v>91.151643916666671</v>
      </c>
      <c r="AV26" s="156">
        <f t="shared" si="207"/>
        <v>91.151643916666671</v>
      </c>
      <c r="AW26" s="156">
        <f t="shared" si="207"/>
        <v>91.151643916666671</v>
      </c>
      <c r="AX26" s="156">
        <f t="shared" si="207"/>
        <v>91.151643916666671</v>
      </c>
      <c r="AY26" s="156">
        <f t="shared" si="207"/>
        <v>91.151643916666671</v>
      </c>
      <c r="AZ26" s="156">
        <f t="shared" si="207"/>
        <v>91.151643916666671</v>
      </c>
      <c r="BA26" s="156">
        <f t="shared" si="207"/>
        <v>91.151643916666671</v>
      </c>
      <c r="BB26" s="156">
        <f t="shared" si="207"/>
        <v>91.151643916666671</v>
      </c>
      <c r="BC26" s="156">
        <f t="shared" si="207"/>
        <v>91.151643916666671</v>
      </c>
      <c r="BD26" s="156">
        <f t="shared" si="207"/>
        <v>91.151643916666671</v>
      </c>
      <c r="BE26" s="156">
        <f t="shared" si="26"/>
        <v>1093.8197270000001</v>
      </c>
      <c r="BF26" s="156">
        <f>BD26*(1+'Inputs &amp; Assumptions'!$V$78)</f>
        <v>93.886193234166669</v>
      </c>
      <c r="BG26" s="156">
        <f t="shared" ref="BG26:BQ26" si="208">BF26</f>
        <v>93.886193234166669</v>
      </c>
      <c r="BH26" s="156">
        <f t="shared" si="208"/>
        <v>93.886193234166669</v>
      </c>
      <c r="BI26" s="156">
        <f t="shared" si="208"/>
        <v>93.886193234166669</v>
      </c>
      <c r="BJ26" s="156">
        <f t="shared" si="208"/>
        <v>93.886193234166669</v>
      </c>
      <c r="BK26" s="156">
        <f t="shared" si="208"/>
        <v>93.886193234166669</v>
      </c>
      <c r="BL26" s="156">
        <f t="shared" si="208"/>
        <v>93.886193234166669</v>
      </c>
      <c r="BM26" s="156">
        <f t="shared" si="208"/>
        <v>93.886193234166669</v>
      </c>
      <c r="BN26" s="156">
        <f t="shared" si="208"/>
        <v>93.886193234166669</v>
      </c>
      <c r="BO26" s="156">
        <f t="shared" si="208"/>
        <v>93.886193234166669</v>
      </c>
      <c r="BP26" s="156">
        <f t="shared" si="208"/>
        <v>93.886193234166669</v>
      </c>
      <c r="BQ26" s="156">
        <f t="shared" si="208"/>
        <v>93.886193234166669</v>
      </c>
      <c r="BR26" s="156">
        <f t="shared" si="28"/>
        <v>1126.63431881</v>
      </c>
      <c r="BS26" s="156">
        <f>BQ26*(1+'Inputs &amp; Assumptions'!$V$78)</f>
        <v>96.702779031191668</v>
      </c>
      <c r="BT26" s="156">
        <f t="shared" ref="BT26:CD26" si="209">BS26</f>
        <v>96.702779031191668</v>
      </c>
      <c r="BU26" s="156">
        <f t="shared" si="209"/>
        <v>96.702779031191668</v>
      </c>
      <c r="BV26" s="156">
        <f t="shared" si="209"/>
        <v>96.702779031191668</v>
      </c>
      <c r="BW26" s="156">
        <f t="shared" si="209"/>
        <v>96.702779031191668</v>
      </c>
      <c r="BX26" s="156">
        <f t="shared" si="209"/>
        <v>96.702779031191668</v>
      </c>
      <c r="BY26" s="156">
        <f t="shared" si="209"/>
        <v>96.702779031191668</v>
      </c>
      <c r="BZ26" s="156">
        <f t="shared" si="209"/>
        <v>96.702779031191668</v>
      </c>
      <c r="CA26" s="156">
        <f t="shared" si="209"/>
        <v>96.702779031191668</v>
      </c>
      <c r="CB26" s="156">
        <f t="shared" si="209"/>
        <v>96.702779031191668</v>
      </c>
      <c r="CC26" s="156">
        <f t="shared" si="209"/>
        <v>96.702779031191668</v>
      </c>
      <c r="CD26" s="156">
        <f t="shared" si="209"/>
        <v>96.702779031191668</v>
      </c>
      <c r="CE26" s="156">
        <f t="shared" si="30"/>
        <v>1160.4333483743001</v>
      </c>
      <c r="CF26" s="156">
        <f>CD26*(1+'Inputs &amp; Assumptions'!$V$78)</f>
        <v>99.603862402127419</v>
      </c>
      <c r="CG26" s="156">
        <f t="shared" ref="CG26:CQ26" si="210">CF26</f>
        <v>99.603862402127419</v>
      </c>
      <c r="CH26" s="156">
        <f t="shared" si="210"/>
        <v>99.603862402127419</v>
      </c>
      <c r="CI26" s="156">
        <f t="shared" si="210"/>
        <v>99.603862402127419</v>
      </c>
      <c r="CJ26" s="156">
        <f t="shared" si="210"/>
        <v>99.603862402127419</v>
      </c>
      <c r="CK26" s="156">
        <f t="shared" si="210"/>
        <v>99.603862402127419</v>
      </c>
      <c r="CL26" s="156">
        <f t="shared" si="210"/>
        <v>99.603862402127419</v>
      </c>
      <c r="CM26" s="156">
        <f t="shared" si="210"/>
        <v>99.603862402127419</v>
      </c>
      <c r="CN26" s="156">
        <f t="shared" si="210"/>
        <v>99.603862402127419</v>
      </c>
      <c r="CO26" s="156">
        <f t="shared" si="210"/>
        <v>99.603862402127419</v>
      </c>
      <c r="CP26" s="156">
        <f t="shared" si="210"/>
        <v>99.603862402127419</v>
      </c>
      <c r="CQ26" s="156">
        <f t="shared" si="210"/>
        <v>99.603862402127419</v>
      </c>
      <c r="CR26" s="156">
        <f t="shared" si="32"/>
        <v>1195.2463488255291</v>
      </c>
      <c r="CS26" s="156">
        <f>CQ26*(1+'Inputs &amp; Assumptions'!$V$78)</f>
        <v>102.59197827419125</v>
      </c>
      <c r="CT26" s="156">
        <f t="shared" ref="CT26:DD26" si="211">CS26</f>
        <v>102.59197827419125</v>
      </c>
      <c r="CU26" s="156">
        <f t="shared" si="211"/>
        <v>102.59197827419125</v>
      </c>
      <c r="CV26" s="156">
        <f t="shared" si="211"/>
        <v>102.59197827419125</v>
      </c>
      <c r="CW26" s="156">
        <f t="shared" si="211"/>
        <v>102.59197827419125</v>
      </c>
      <c r="CX26" s="156">
        <f t="shared" si="211"/>
        <v>102.59197827419125</v>
      </c>
      <c r="CY26" s="156">
        <f t="shared" si="211"/>
        <v>102.59197827419125</v>
      </c>
      <c r="CZ26" s="156">
        <f t="shared" si="211"/>
        <v>102.59197827419125</v>
      </c>
      <c r="DA26" s="156">
        <f t="shared" si="211"/>
        <v>102.59197827419125</v>
      </c>
      <c r="DB26" s="156">
        <f t="shared" si="211"/>
        <v>102.59197827419125</v>
      </c>
      <c r="DC26" s="156">
        <f t="shared" si="211"/>
        <v>102.59197827419125</v>
      </c>
      <c r="DD26" s="156">
        <f t="shared" si="211"/>
        <v>102.59197827419125</v>
      </c>
      <c r="DE26" s="156">
        <f t="shared" si="34"/>
        <v>1231.1037392902947</v>
      </c>
      <c r="DF26" s="156">
        <f>DD26*(1+'Inputs &amp; Assumptions'!$V$78)</f>
        <v>105.66973762241699</v>
      </c>
      <c r="DG26" s="156">
        <f t="shared" ref="DG26:DQ26" si="212">DF26</f>
        <v>105.66973762241699</v>
      </c>
      <c r="DH26" s="156">
        <f t="shared" si="212"/>
        <v>105.66973762241699</v>
      </c>
      <c r="DI26" s="156">
        <f t="shared" si="212"/>
        <v>105.66973762241699</v>
      </c>
      <c r="DJ26" s="156">
        <f t="shared" si="212"/>
        <v>105.66973762241699</v>
      </c>
      <c r="DK26" s="156">
        <f t="shared" si="212"/>
        <v>105.66973762241699</v>
      </c>
      <c r="DL26" s="156">
        <f t="shared" si="212"/>
        <v>105.66973762241699</v>
      </c>
      <c r="DM26" s="156">
        <f t="shared" si="212"/>
        <v>105.66973762241699</v>
      </c>
      <c r="DN26" s="156">
        <f t="shared" si="212"/>
        <v>105.66973762241699</v>
      </c>
      <c r="DO26" s="156">
        <f t="shared" si="212"/>
        <v>105.66973762241699</v>
      </c>
      <c r="DP26" s="156">
        <f t="shared" si="212"/>
        <v>105.66973762241699</v>
      </c>
      <c r="DQ26" s="156">
        <f t="shared" si="212"/>
        <v>105.66973762241699</v>
      </c>
      <c r="DR26" s="156">
        <f t="shared" si="36"/>
        <v>1268.0368514690038</v>
      </c>
      <c r="DS26" s="156">
        <f>DQ26*(1+'Inputs &amp; Assumptions'!$V$78)</f>
        <v>108.8398297510895</v>
      </c>
      <c r="DT26" s="156">
        <f t="shared" ref="DT26:ED26" si="213">DS26</f>
        <v>108.8398297510895</v>
      </c>
      <c r="DU26" s="156">
        <f t="shared" si="213"/>
        <v>108.8398297510895</v>
      </c>
      <c r="DV26" s="156">
        <f t="shared" si="213"/>
        <v>108.8398297510895</v>
      </c>
      <c r="DW26" s="156">
        <f t="shared" si="213"/>
        <v>108.8398297510895</v>
      </c>
      <c r="DX26" s="156">
        <f t="shared" si="213"/>
        <v>108.8398297510895</v>
      </c>
      <c r="DY26" s="156">
        <f t="shared" si="213"/>
        <v>108.8398297510895</v>
      </c>
      <c r="DZ26" s="156">
        <f t="shared" si="213"/>
        <v>108.8398297510895</v>
      </c>
      <c r="EA26" s="156">
        <f t="shared" si="213"/>
        <v>108.8398297510895</v>
      </c>
      <c r="EB26" s="156">
        <f t="shared" si="213"/>
        <v>108.8398297510895</v>
      </c>
      <c r="EC26" s="156">
        <f t="shared" si="213"/>
        <v>108.8398297510895</v>
      </c>
      <c r="ED26" s="156">
        <f t="shared" si="213"/>
        <v>108.8398297510895</v>
      </c>
      <c r="EE26" s="243">
        <f t="shared" si="38"/>
        <v>1306.077957013074</v>
      </c>
      <c r="EF26" s="11"/>
    </row>
    <row r="27" spans="2:139">
      <c r="B27" s="161" t="str">
        <f>'Inputs &amp; Assumptions'!$B$36</f>
        <v>Insurance</v>
      </c>
      <c r="E27" s="12" t="e">
        <f>'Inputs &amp; Assumptions'!#REF!</f>
        <v>#REF!</v>
      </c>
      <c r="F27" s="12">
        <f>'Inputs &amp; Assumptions'!F36/12</f>
        <v>17583.333333333332</v>
      </c>
      <c r="G27" s="12">
        <f t="shared" ref="G27:H27" si="214">F27</f>
        <v>17583.333333333332</v>
      </c>
      <c r="H27" s="12">
        <f t="shared" si="214"/>
        <v>17583.333333333332</v>
      </c>
      <c r="I27" s="12">
        <f t="shared" ref="I27:Q27" si="215">H27</f>
        <v>17583.333333333332</v>
      </c>
      <c r="J27" s="12">
        <f t="shared" si="215"/>
        <v>17583.333333333332</v>
      </c>
      <c r="K27" s="12">
        <f t="shared" si="215"/>
        <v>17583.333333333332</v>
      </c>
      <c r="L27" s="12">
        <f t="shared" si="215"/>
        <v>17583.333333333332</v>
      </c>
      <c r="M27" s="12">
        <f t="shared" si="215"/>
        <v>17583.333333333332</v>
      </c>
      <c r="N27" s="12">
        <f t="shared" si="215"/>
        <v>17583.333333333332</v>
      </c>
      <c r="O27" s="12">
        <f t="shared" si="215"/>
        <v>17583.333333333332</v>
      </c>
      <c r="P27" s="12">
        <f t="shared" si="215"/>
        <v>17583.333333333332</v>
      </c>
      <c r="Q27" s="12">
        <f t="shared" si="215"/>
        <v>17583.333333333332</v>
      </c>
      <c r="R27" s="12">
        <f t="shared" si="138"/>
        <v>211000.00000000003</v>
      </c>
      <c r="S27" s="12">
        <f>Q27*(1+'Inputs &amp; Assumptions'!$V$75)</f>
        <v>18110.833333333332</v>
      </c>
      <c r="T27" s="12">
        <f t="shared" ref="T27:AD27" si="216">S27</f>
        <v>18110.833333333332</v>
      </c>
      <c r="U27" s="12">
        <f t="shared" si="216"/>
        <v>18110.833333333332</v>
      </c>
      <c r="V27" s="12">
        <f t="shared" si="216"/>
        <v>18110.833333333332</v>
      </c>
      <c r="W27" s="12">
        <f t="shared" si="216"/>
        <v>18110.833333333332</v>
      </c>
      <c r="X27" s="12">
        <f t="shared" si="216"/>
        <v>18110.833333333332</v>
      </c>
      <c r="Y27" s="12">
        <f t="shared" si="216"/>
        <v>18110.833333333332</v>
      </c>
      <c r="Z27" s="12">
        <f t="shared" si="216"/>
        <v>18110.833333333332</v>
      </c>
      <c r="AA27" s="12">
        <f t="shared" si="216"/>
        <v>18110.833333333332</v>
      </c>
      <c r="AB27" s="12">
        <f t="shared" si="216"/>
        <v>18110.833333333332</v>
      </c>
      <c r="AC27" s="12">
        <f t="shared" si="216"/>
        <v>18110.833333333332</v>
      </c>
      <c r="AD27" s="12">
        <f t="shared" si="216"/>
        <v>18110.833333333332</v>
      </c>
      <c r="AE27" s="12">
        <f>SUM(S27:AD27)</f>
        <v>217330.00000000003</v>
      </c>
      <c r="AF27" s="12">
        <f>AD27*(1+'Inputs &amp; Assumptions'!$V$76)</f>
        <v>18654.158333333333</v>
      </c>
      <c r="AG27" s="12">
        <f t="shared" ref="AG27:AQ27" si="217">AF27</f>
        <v>18654.158333333333</v>
      </c>
      <c r="AH27" s="12">
        <f t="shared" si="217"/>
        <v>18654.158333333333</v>
      </c>
      <c r="AI27" s="12">
        <f t="shared" si="217"/>
        <v>18654.158333333333</v>
      </c>
      <c r="AJ27" s="12">
        <f t="shared" si="217"/>
        <v>18654.158333333333</v>
      </c>
      <c r="AK27" s="12">
        <f t="shared" si="217"/>
        <v>18654.158333333333</v>
      </c>
      <c r="AL27" s="12">
        <f t="shared" si="217"/>
        <v>18654.158333333333</v>
      </c>
      <c r="AM27" s="12">
        <f t="shared" si="217"/>
        <v>18654.158333333333</v>
      </c>
      <c r="AN27" s="12">
        <f t="shared" si="217"/>
        <v>18654.158333333333</v>
      </c>
      <c r="AO27" s="12">
        <f t="shared" si="217"/>
        <v>18654.158333333333</v>
      </c>
      <c r="AP27" s="12">
        <f t="shared" si="217"/>
        <v>18654.158333333333</v>
      </c>
      <c r="AQ27" s="12">
        <f t="shared" si="217"/>
        <v>18654.158333333333</v>
      </c>
      <c r="AR27" s="12">
        <f t="shared" si="24"/>
        <v>223849.89999999994</v>
      </c>
      <c r="AS27" s="12">
        <f>AQ27*(1+'Inputs &amp; Assumptions'!$V$77)</f>
        <v>19213.783083333332</v>
      </c>
      <c r="AT27" s="12">
        <f t="shared" ref="AT27:BD27" si="218">AS27</f>
        <v>19213.783083333332</v>
      </c>
      <c r="AU27" s="12">
        <f t="shared" si="218"/>
        <v>19213.783083333332</v>
      </c>
      <c r="AV27" s="12">
        <f t="shared" si="218"/>
        <v>19213.783083333332</v>
      </c>
      <c r="AW27" s="12">
        <f t="shared" si="218"/>
        <v>19213.783083333332</v>
      </c>
      <c r="AX27" s="12">
        <f t="shared" si="218"/>
        <v>19213.783083333332</v>
      </c>
      <c r="AY27" s="12">
        <f t="shared" si="218"/>
        <v>19213.783083333332</v>
      </c>
      <c r="AZ27" s="12">
        <f t="shared" si="218"/>
        <v>19213.783083333332</v>
      </c>
      <c r="BA27" s="12">
        <f t="shared" si="218"/>
        <v>19213.783083333332</v>
      </c>
      <c r="BB27" s="12">
        <f t="shared" si="218"/>
        <v>19213.783083333332</v>
      </c>
      <c r="BC27" s="12">
        <f t="shared" si="218"/>
        <v>19213.783083333332</v>
      </c>
      <c r="BD27" s="12">
        <f t="shared" si="218"/>
        <v>19213.783083333332</v>
      </c>
      <c r="BE27" s="12">
        <f t="shared" si="26"/>
        <v>230565.39700000003</v>
      </c>
      <c r="BF27" s="12">
        <f>BD27*(1+'Inputs &amp; Assumptions'!$V$78)</f>
        <v>19790.196575833332</v>
      </c>
      <c r="BG27" s="12">
        <f t="shared" ref="BG27:BQ27" si="219">BF27</f>
        <v>19790.196575833332</v>
      </c>
      <c r="BH27" s="12">
        <f t="shared" si="219"/>
        <v>19790.196575833332</v>
      </c>
      <c r="BI27" s="12">
        <f t="shared" si="219"/>
        <v>19790.196575833332</v>
      </c>
      <c r="BJ27" s="12">
        <f t="shared" si="219"/>
        <v>19790.196575833332</v>
      </c>
      <c r="BK27" s="12">
        <f t="shared" si="219"/>
        <v>19790.196575833332</v>
      </c>
      <c r="BL27" s="12">
        <f t="shared" si="219"/>
        <v>19790.196575833332</v>
      </c>
      <c r="BM27" s="12">
        <f t="shared" si="219"/>
        <v>19790.196575833332</v>
      </c>
      <c r="BN27" s="12">
        <f t="shared" si="219"/>
        <v>19790.196575833332</v>
      </c>
      <c r="BO27" s="12">
        <f t="shared" si="219"/>
        <v>19790.196575833332</v>
      </c>
      <c r="BP27" s="12">
        <f t="shared" si="219"/>
        <v>19790.196575833332</v>
      </c>
      <c r="BQ27" s="12">
        <f t="shared" si="219"/>
        <v>19790.196575833332</v>
      </c>
      <c r="BR27" s="12">
        <f t="shared" si="28"/>
        <v>237482.35891000004</v>
      </c>
      <c r="BS27" s="12">
        <f>BQ27*(1+'Inputs &amp; Assumptions'!$V$78)</f>
        <v>20383.902473108334</v>
      </c>
      <c r="BT27" s="12">
        <f t="shared" ref="BT27:CD27" si="220">BS27</f>
        <v>20383.902473108334</v>
      </c>
      <c r="BU27" s="12">
        <f t="shared" si="220"/>
        <v>20383.902473108334</v>
      </c>
      <c r="BV27" s="12">
        <f t="shared" si="220"/>
        <v>20383.902473108334</v>
      </c>
      <c r="BW27" s="12">
        <f t="shared" si="220"/>
        <v>20383.902473108334</v>
      </c>
      <c r="BX27" s="12">
        <f t="shared" si="220"/>
        <v>20383.902473108334</v>
      </c>
      <c r="BY27" s="12">
        <f t="shared" si="220"/>
        <v>20383.902473108334</v>
      </c>
      <c r="BZ27" s="12">
        <f t="shared" si="220"/>
        <v>20383.902473108334</v>
      </c>
      <c r="CA27" s="12">
        <f t="shared" si="220"/>
        <v>20383.902473108334</v>
      </c>
      <c r="CB27" s="12">
        <f t="shared" si="220"/>
        <v>20383.902473108334</v>
      </c>
      <c r="CC27" s="12">
        <f t="shared" si="220"/>
        <v>20383.902473108334</v>
      </c>
      <c r="CD27" s="12">
        <f t="shared" si="220"/>
        <v>20383.902473108334</v>
      </c>
      <c r="CE27" s="12">
        <f t="shared" si="30"/>
        <v>244606.82967729995</v>
      </c>
      <c r="CF27" s="12">
        <f>CD27*(1+'Inputs &amp; Assumptions'!$V$78)</f>
        <v>20995.419547301582</v>
      </c>
      <c r="CG27" s="12">
        <f t="shared" ref="CG27:CQ27" si="221">CF27</f>
        <v>20995.419547301582</v>
      </c>
      <c r="CH27" s="12">
        <f t="shared" si="221"/>
        <v>20995.419547301582</v>
      </c>
      <c r="CI27" s="12">
        <f t="shared" si="221"/>
        <v>20995.419547301582</v>
      </c>
      <c r="CJ27" s="12">
        <f t="shared" si="221"/>
        <v>20995.419547301582</v>
      </c>
      <c r="CK27" s="12">
        <f t="shared" si="221"/>
        <v>20995.419547301582</v>
      </c>
      <c r="CL27" s="12">
        <f t="shared" si="221"/>
        <v>20995.419547301582</v>
      </c>
      <c r="CM27" s="12">
        <f t="shared" si="221"/>
        <v>20995.419547301582</v>
      </c>
      <c r="CN27" s="12">
        <f t="shared" si="221"/>
        <v>20995.419547301582</v>
      </c>
      <c r="CO27" s="12">
        <f t="shared" si="221"/>
        <v>20995.419547301582</v>
      </c>
      <c r="CP27" s="12">
        <f t="shared" si="221"/>
        <v>20995.419547301582</v>
      </c>
      <c r="CQ27" s="12">
        <f t="shared" si="221"/>
        <v>20995.419547301582</v>
      </c>
      <c r="CR27" s="12">
        <f t="shared" si="32"/>
        <v>251945.03456761895</v>
      </c>
      <c r="CS27" s="12">
        <f>CQ27*(1+'Inputs &amp; Assumptions'!$V$78)</f>
        <v>21625.28213372063</v>
      </c>
      <c r="CT27" s="12">
        <f t="shared" ref="CT27:DD27" si="222">CS27</f>
        <v>21625.28213372063</v>
      </c>
      <c r="CU27" s="12">
        <f t="shared" si="222"/>
        <v>21625.28213372063</v>
      </c>
      <c r="CV27" s="12">
        <f t="shared" si="222"/>
        <v>21625.28213372063</v>
      </c>
      <c r="CW27" s="12">
        <f t="shared" si="222"/>
        <v>21625.28213372063</v>
      </c>
      <c r="CX27" s="12">
        <f t="shared" si="222"/>
        <v>21625.28213372063</v>
      </c>
      <c r="CY27" s="12">
        <f t="shared" si="222"/>
        <v>21625.28213372063</v>
      </c>
      <c r="CZ27" s="12">
        <f t="shared" si="222"/>
        <v>21625.28213372063</v>
      </c>
      <c r="DA27" s="12">
        <f t="shared" si="222"/>
        <v>21625.28213372063</v>
      </c>
      <c r="DB27" s="12">
        <f t="shared" si="222"/>
        <v>21625.28213372063</v>
      </c>
      <c r="DC27" s="12">
        <f t="shared" si="222"/>
        <v>21625.28213372063</v>
      </c>
      <c r="DD27" s="12">
        <f t="shared" si="222"/>
        <v>21625.28213372063</v>
      </c>
      <c r="DE27" s="12">
        <f t="shared" si="34"/>
        <v>259503.3856046476</v>
      </c>
      <c r="DF27" s="12">
        <f>DD27*(1+'Inputs &amp; Assumptions'!$V$78)</f>
        <v>22274.040597732248</v>
      </c>
      <c r="DG27" s="12">
        <f t="shared" ref="DG27:DQ27" si="223">DF27</f>
        <v>22274.040597732248</v>
      </c>
      <c r="DH27" s="12">
        <f t="shared" si="223"/>
        <v>22274.040597732248</v>
      </c>
      <c r="DI27" s="12">
        <f t="shared" si="223"/>
        <v>22274.040597732248</v>
      </c>
      <c r="DJ27" s="12">
        <f t="shared" si="223"/>
        <v>22274.040597732248</v>
      </c>
      <c r="DK27" s="12">
        <f t="shared" si="223"/>
        <v>22274.040597732248</v>
      </c>
      <c r="DL27" s="12">
        <f t="shared" si="223"/>
        <v>22274.040597732248</v>
      </c>
      <c r="DM27" s="12">
        <f t="shared" si="223"/>
        <v>22274.040597732248</v>
      </c>
      <c r="DN27" s="12">
        <f t="shared" si="223"/>
        <v>22274.040597732248</v>
      </c>
      <c r="DO27" s="12">
        <f t="shared" si="223"/>
        <v>22274.040597732248</v>
      </c>
      <c r="DP27" s="12">
        <f t="shared" si="223"/>
        <v>22274.040597732248</v>
      </c>
      <c r="DQ27" s="12">
        <f t="shared" si="223"/>
        <v>22274.040597732248</v>
      </c>
      <c r="DR27" s="12">
        <f t="shared" si="36"/>
        <v>267288.4871727869</v>
      </c>
      <c r="DS27" s="12">
        <f>DQ27*(1+'Inputs &amp; Assumptions'!$V$78)</f>
        <v>22942.261815664217</v>
      </c>
      <c r="DT27" s="12">
        <f t="shared" ref="DT27:ED27" si="224">DS27</f>
        <v>22942.261815664217</v>
      </c>
      <c r="DU27" s="12">
        <f t="shared" si="224"/>
        <v>22942.261815664217</v>
      </c>
      <c r="DV27" s="12">
        <f t="shared" si="224"/>
        <v>22942.261815664217</v>
      </c>
      <c r="DW27" s="12">
        <f t="shared" si="224"/>
        <v>22942.261815664217</v>
      </c>
      <c r="DX27" s="12">
        <f t="shared" si="224"/>
        <v>22942.261815664217</v>
      </c>
      <c r="DY27" s="12">
        <f t="shared" si="224"/>
        <v>22942.261815664217</v>
      </c>
      <c r="DZ27" s="12">
        <f t="shared" si="224"/>
        <v>22942.261815664217</v>
      </c>
      <c r="EA27" s="12">
        <f t="shared" si="224"/>
        <v>22942.261815664217</v>
      </c>
      <c r="EB27" s="12">
        <f t="shared" si="224"/>
        <v>22942.261815664217</v>
      </c>
      <c r="EC27" s="12">
        <f t="shared" si="224"/>
        <v>22942.261815664217</v>
      </c>
      <c r="ED27" s="12">
        <f t="shared" si="224"/>
        <v>22942.261815664217</v>
      </c>
      <c r="EE27" s="242">
        <f t="shared" si="38"/>
        <v>275307.14178797061</v>
      </c>
      <c r="EF27" s="11"/>
    </row>
    <row r="28" spans="2:139">
      <c r="B28" s="187" t="str">
        <f>'Inputs &amp; Assumptions'!$B$37</f>
        <v>Management Fee</v>
      </c>
      <c r="C28" s="1056"/>
      <c r="D28" s="442">
        <f>'Inputs &amp; Assumptions'!V45</f>
        <v>0.03</v>
      </c>
      <c r="E28" s="156" t="e">
        <f>'Inputs &amp; Assumptions'!#REF!</f>
        <v>#REF!</v>
      </c>
      <c r="F28" s="156">
        <f>F16*'Inputs &amp; Assumptions'!$V$44</f>
        <v>6487.7343556333335</v>
      </c>
      <c r="G28" s="156">
        <f>G16*'Inputs &amp; Assumptions'!$V$44</f>
        <v>6487.7343556333335</v>
      </c>
      <c r="H28" s="156">
        <f>H16*'Inputs &amp; Assumptions'!$V$44</f>
        <v>6487.7343556333335</v>
      </c>
      <c r="I28" s="156">
        <f>I16*'Inputs &amp; Assumptions'!$V$44</f>
        <v>6487.7343556333335</v>
      </c>
      <c r="J28" s="156">
        <f>J16*'Inputs &amp; Assumptions'!$V$44</f>
        <v>6487.7343556333335</v>
      </c>
      <c r="K28" s="156">
        <f>K16*'Inputs &amp; Assumptions'!$V$44</f>
        <v>6487.7343556333335</v>
      </c>
      <c r="L28" s="156">
        <f>L16*'Inputs &amp; Assumptions'!$V$44</f>
        <v>6487.7343556333335</v>
      </c>
      <c r="M28" s="156">
        <f>M16*'Inputs &amp; Assumptions'!$V$44</f>
        <v>6487.7343556333335</v>
      </c>
      <c r="N28" s="156">
        <f>N16*'Inputs &amp; Assumptions'!$V$44</f>
        <v>6487.7343556333335</v>
      </c>
      <c r="O28" s="156">
        <f>O16*'Inputs &amp; Assumptions'!$V$44</f>
        <v>6487.7343556333335</v>
      </c>
      <c r="P28" s="156">
        <f>P16*'Inputs &amp; Assumptions'!$V$44</f>
        <v>6487.7343556333335</v>
      </c>
      <c r="Q28" s="156">
        <f>Q16*'Inputs &amp; Assumptions'!$V$44</f>
        <v>6487.7343556333335</v>
      </c>
      <c r="R28" s="156">
        <f t="shared" si="138"/>
        <v>77852.81226760002</v>
      </c>
      <c r="S28" s="156">
        <f>S16*'Inputs &amp; Assumptions'!$V$45</f>
        <v>11566.713265583499</v>
      </c>
      <c r="T28" s="156">
        <f>T16*'Inputs &amp; Assumptions'!$V$45</f>
        <v>11566.713265583499</v>
      </c>
      <c r="U28" s="156">
        <f>U16*'Inputs &amp; Assumptions'!$V$45</f>
        <v>11566.713265583499</v>
      </c>
      <c r="V28" s="156">
        <f>V16*'Inputs &amp; Assumptions'!$V$45</f>
        <v>11566.713265583499</v>
      </c>
      <c r="W28" s="156">
        <f>W16*'Inputs &amp; Assumptions'!$V$45</f>
        <v>11566.713265583499</v>
      </c>
      <c r="X28" s="156">
        <f>X16*'Inputs &amp; Assumptions'!$V$45</f>
        <v>11566.713265583499</v>
      </c>
      <c r="Y28" s="156">
        <f>Y16*'Inputs &amp; Assumptions'!$V$45</f>
        <v>11566.713265583499</v>
      </c>
      <c r="Z28" s="156">
        <f>Z16*'Inputs &amp; Assumptions'!$V$45</f>
        <v>11566.713265583499</v>
      </c>
      <c r="AA28" s="156">
        <f>AA16*'Inputs &amp; Assumptions'!$V$45</f>
        <v>11566.713265583499</v>
      </c>
      <c r="AB28" s="156">
        <f>AB16*'Inputs &amp; Assumptions'!$V$45</f>
        <v>11566.713265583499</v>
      </c>
      <c r="AC28" s="156">
        <f>AC16*'Inputs &amp; Assumptions'!$V$45</f>
        <v>11566.713265583499</v>
      </c>
      <c r="AD28" s="156">
        <f>AD16*'Inputs &amp; Assumptions'!$V$45</f>
        <v>11566.713265583499</v>
      </c>
      <c r="AE28" s="156">
        <f>SUM(S28:AD28)</f>
        <v>138800.55918700199</v>
      </c>
      <c r="AF28" s="156">
        <f>AF16*'Inputs &amp; Assumptions'!$V$45</f>
        <v>13503.173260264904</v>
      </c>
      <c r="AG28" s="156">
        <f>AG16*'Inputs &amp; Assumptions'!$V$45</f>
        <v>13503.173260264904</v>
      </c>
      <c r="AH28" s="156">
        <f>AH16*'Inputs &amp; Assumptions'!$V$45</f>
        <v>13503.173260264904</v>
      </c>
      <c r="AI28" s="156">
        <f>AI16*'Inputs &amp; Assumptions'!$V$45</f>
        <v>13503.173260264904</v>
      </c>
      <c r="AJ28" s="156">
        <f>AJ16*'Inputs &amp; Assumptions'!$V$45</f>
        <v>13503.173260264904</v>
      </c>
      <c r="AK28" s="156">
        <f>AK16*'Inputs &amp; Assumptions'!$V$45</f>
        <v>13503.173260264904</v>
      </c>
      <c r="AL28" s="156">
        <f>AL16*'Inputs &amp; Assumptions'!$V$45</f>
        <v>13503.173260264904</v>
      </c>
      <c r="AM28" s="156">
        <f>AM16*'Inputs &amp; Assumptions'!$V$45</f>
        <v>13503.173260264904</v>
      </c>
      <c r="AN28" s="156">
        <f>AN16*'Inputs &amp; Assumptions'!$V$45</f>
        <v>13503.173260264904</v>
      </c>
      <c r="AO28" s="156">
        <f>AO16*'Inputs &amp; Assumptions'!$V$45</f>
        <v>13503.173260264904</v>
      </c>
      <c r="AP28" s="156">
        <f>AP16*'Inputs &amp; Assumptions'!$V$45</f>
        <v>13503.173260264904</v>
      </c>
      <c r="AQ28" s="156">
        <f>AQ16*'Inputs &amp; Assumptions'!$V$45</f>
        <v>13503.173260264904</v>
      </c>
      <c r="AR28" s="156">
        <f>SUM(AF28:AQ28)</f>
        <v>162038.07912317885</v>
      </c>
      <c r="AS28" s="156">
        <f>AS16*'Inputs &amp; Assumptions'!$V$45</f>
        <v>13908.268458072853</v>
      </c>
      <c r="AT28" s="156">
        <f>AT16*'Inputs &amp; Assumptions'!$V$45</f>
        <v>13908.268458072853</v>
      </c>
      <c r="AU28" s="156">
        <f>AU16*'Inputs &amp; Assumptions'!$V$45</f>
        <v>13908.268458072853</v>
      </c>
      <c r="AV28" s="156">
        <f>AV16*'Inputs &amp; Assumptions'!$V$45</f>
        <v>13908.268458072853</v>
      </c>
      <c r="AW28" s="156">
        <f>AW16*'Inputs &amp; Assumptions'!$V$45</f>
        <v>13908.268458072853</v>
      </c>
      <c r="AX28" s="156">
        <f>AX16*'Inputs &amp; Assumptions'!$V$45</f>
        <v>13908.268458072853</v>
      </c>
      <c r="AY28" s="156">
        <f>AY16*'Inputs &amp; Assumptions'!$V$45</f>
        <v>13908.268458072853</v>
      </c>
      <c r="AZ28" s="156">
        <f>AZ16*'Inputs &amp; Assumptions'!$V$45</f>
        <v>13908.268458072853</v>
      </c>
      <c r="BA28" s="156">
        <f>BA16*'Inputs &amp; Assumptions'!$V$45</f>
        <v>13908.268458072853</v>
      </c>
      <c r="BB28" s="156">
        <f>BB16*'Inputs &amp; Assumptions'!$V$45</f>
        <v>13908.268458072853</v>
      </c>
      <c r="BC28" s="156">
        <f>BC16*'Inputs &amp; Assumptions'!$V$45</f>
        <v>13908.268458072853</v>
      </c>
      <c r="BD28" s="156">
        <f>BD16*'Inputs &amp; Assumptions'!$V$45</f>
        <v>13908.268458072853</v>
      </c>
      <c r="BE28" s="156">
        <f t="shared" si="26"/>
        <v>166899.22149687423</v>
      </c>
      <c r="BF28" s="156">
        <f>BF16*'Inputs &amp; Assumptions'!$V$45</f>
        <v>14325.516511815038</v>
      </c>
      <c r="BG28" s="156">
        <f>BG16*'Inputs &amp; Assumptions'!$V$45</f>
        <v>14325.516511815038</v>
      </c>
      <c r="BH28" s="156">
        <f>BH16*'Inputs &amp; Assumptions'!$V$45</f>
        <v>14325.516511815038</v>
      </c>
      <c r="BI28" s="156">
        <f>BI16*'Inputs &amp; Assumptions'!$V$45</f>
        <v>14325.516511815038</v>
      </c>
      <c r="BJ28" s="156">
        <f>BJ16*'Inputs &amp; Assumptions'!$V$45</f>
        <v>14325.516511815038</v>
      </c>
      <c r="BK28" s="156">
        <f>BK16*'Inputs &amp; Assumptions'!$V$45</f>
        <v>14325.516511815038</v>
      </c>
      <c r="BL28" s="156">
        <f>BL16*'Inputs &amp; Assumptions'!$V$45</f>
        <v>14325.516511815038</v>
      </c>
      <c r="BM28" s="156">
        <f>BM16*'Inputs &amp; Assumptions'!$V$45</f>
        <v>14325.516511815038</v>
      </c>
      <c r="BN28" s="156">
        <f>BN16*'Inputs &amp; Assumptions'!$V$45</f>
        <v>14325.516511815038</v>
      </c>
      <c r="BO28" s="156">
        <f>BO16*'Inputs &amp; Assumptions'!$V$45</f>
        <v>14325.516511815038</v>
      </c>
      <c r="BP28" s="156">
        <f>BP16*'Inputs &amp; Assumptions'!$V$45</f>
        <v>14325.516511815038</v>
      </c>
      <c r="BQ28" s="156">
        <f>BQ16*'Inputs &amp; Assumptions'!$V$45</f>
        <v>14325.516511815038</v>
      </c>
      <c r="BR28" s="156">
        <f>SUM(BF28:BQ28)</f>
        <v>171906.19814178045</v>
      </c>
      <c r="BS28" s="156">
        <f>BS16*'Inputs &amp; Assumptions'!$V$45</f>
        <v>14755.282007169488</v>
      </c>
      <c r="BT28" s="156">
        <f>BT16*'Inputs &amp; Assumptions'!$V$45</f>
        <v>14755.282007169488</v>
      </c>
      <c r="BU28" s="156">
        <f>BU16*'Inputs &amp; Assumptions'!$V$45</f>
        <v>14755.282007169488</v>
      </c>
      <c r="BV28" s="156">
        <f>BV16*'Inputs &amp; Assumptions'!$V$45</f>
        <v>14755.282007169488</v>
      </c>
      <c r="BW28" s="156">
        <f>BW16*'Inputs &amp; Assumptions'!$V$45</f>
        <v>14755.282007169488</v>
      </c>
      <c r="BX28" s="156">
        <f>BX16*'Inputs &amp; Assumptions'!$V$45</f>
        <v>14755.282007169488</v>
      </c>
      <c r="BY28" s="156">
        <f>BY16*'Inputs &amp; Assumptions'!$V$45</f>
        <v>14755.282007169488</v>
      </c>
      <c r="BZ28" s="156">
        <f>BZ16*'Inputs &amp; Assumptions'!$V$45</f>
        <v>14755.282007169488</v>
      </c>
      <c r="CA28" s="156">
        <f>CA16*'Inputs &amp; Assumptions'!$V$45</f>
        <v>14755.282007169488</v>
      </c>
      <c r="CB28" s="156">
        <f>CB16*'Inputs &amp; Assumptions'!$V$45</f>
        <v>14755.282007169488</v>
      </c>
      <c r="CC28" s="156">
        <f>CC16*'Inputs &amp; Assumptions'!$V$45</f>
        <v>14755.282007169488</v>
      </c>
      <c r="CD28" s="156">
        <f>CD16*'Inputs &amp; Assumptions'!$V$45</f>
        <v>14755.282007169488</v>
      </c>
      <c r="CE28" s="156">
        <f t="shared" si="30"/>
        <v>177063.38408603391</v>
      </c>
      <c r="CF28" s="156">
        <f>CF16*'Inputs &amp; Assumptions'!$V$45</f>
        <v>15197.940467384573</v>
      </c>
      <c r="CG28" s="156">
        <f>CG16*'Inputs &amp; Assumptions'!$V$45</f>
        <v>15197.940467384573</v>
      </c>
      <c r="CH28" s="156">
        <f>CH16*'Inputs &amp; Assumptions'!$V$45</f>
        <v>15197.940467384573</v>
      </c>
      <c r="CI28" s="156">
        <f>CI16*'Inputs &amp; Assumptions'!$V$45</f>
        <v>15197.940467384573</v>
      </c>
      <c r="CJ28" s="156">
        <f>CJ16*'Inputs &amp; Assumptions'!$V$45</f>
        <v>15197.940467384573</v>
      </c>
      <c r="CK28" s="156">
        <f>CK16*'Inputs &amp; Assumptions'!$V$45</f>
        <v>15197.940467384573</v>
      </c>
      <c r="CL28" s="156">
        <f>CL16*'Inputs &amp; Assumptions'!$V$45</f>
        <v>15197.940467384573</v>
      </c>
      <c r="CM28" s="156">
        <f>CM16*'Inputs &amp; Assumptions'!$V$45</f>
        <v>15197.940467384573</v>
      </c>
      <c r="CN28" s="156">
        <f>CN16*'Inputs &amp; Assumptions'!$V$45</f>
        <v>15197.940467384573</v>
      </c>
      <c r="CO28" s="156">
        <f>CO16*'Inputs &amp; Assumptions'!$V$45</f>
        <v>15197.940467384573</v>
      </c>
      <c r="CP28" s="156">
        <f>CP16*'Inputs &amp; Assumptions'!$V$45</f>
        <v>15197.940467384573</v>
      </c>
      <c r="CQ28" s="156">
        <f>CQ16*'Inputs &amp; Assumptions'!$V$45</f>
        <v>15197.940467384573</v>
      </c>
      <c r="CR28" s="156">
        <f t="shared" si="32"/>
        <v>182375.28560861491</v>
      </c>
      <c r="CS28" s="156">
        <f>CS16*'Inputs &amp; Assumptions'!$V$45</f>
        <v>15653.878681406113</v>
      </c>
      <c r="CT28" s="156">
        <f>CT16*'Inputs &amp; Assumptions'!$V$45</f>
        <v>15653.878681406113</v>
      </c>
      <c r="CU28" s="156">
        <f>CU16*'Inputs &amp; Assumptions'!$V$45</f>
        <v>15653.878681406113</v>
      </c>
      <c r="CV28" s="156">
        <f>CV16*'Inputs &amp; Assumptions'!$V$45</f>
        <v>15653.878681406113</v>
      </c>
      <c r="CW28" s="156">
        <f>CW16*'Inputs &amp; Assumptions'!$V$45</f>
        <v>15653.878681406113</v>
      </c>
      <c r="CX28" s="156">
        <f>CX16*'Inputs &amp; Assumptions'!$V$45</f>
        <v>15653.878681406113</v>
      </c>
      <c r="CY28" s="156">
        <f>CY16*'Inputs &amp; Assumptions'!$V$45</f>
        <v>15653.878681406113</v>
      </c>
      <c r="CZ28" s="156">
        <f>CZ16*'Inputs &amp; Assumptions'!$V$45</f>
        <v>15653.878681406113</v>
      </c>
      <c r="DA28" s="156">
        <f>DA16*'Inputs &amp; Assumptions'!$V$45</f>
        <v>15653.878681406113</v>
      </c>
      <c r="DB28" s="156">
        <f>DB16*'Inputs &amp; Assumptions'!$V$45</f>
        <v>15653.878681406113</v>
      </c>
      <c r="DC28" s="156">
        <f>DC16*'Inputs &amp; Assumptions'!$V$45</f>
        <v>15653.878681406113</v>
      </c>
      <c r="DD28" s="156">
        <f>DD16*'Inputs &amp; Assumptions'!$V$45</f>
        <v>15653.878681406113</v>
      </c>
      <c r="DE28" s="156">
        <f t="shared" si="34"/>
        <v>187846.54417687337</v>
      </c>
      <c r="DF28" s="156">
        <f>DF16*'Inputs &amp; Assumptions'!$V$45</f>
        <v>16123.495041848289</v>
      </c>
      <c r="DG28" s="156">
        <f>DG16*'Inputs &amp; Assumptions'!$V$45</f>
        <v>16123.495041848289</v>
      </c>
      <c r="DH28" s="156">
        <f>DH16*'Inputs &amp; Assumptions'!$V$45</f>
        <v>16123.495041848289</v>
      </c>
      <c r="DI28" s="156">
        <f>DI16*'Inputs &amp; Assumptions'!$V$45</f>
        <v>16123.495041848289</v>
      </c>
      <c r="DJ28" s="156">
        <f>DJ16*'Inputs &amp; Assumptions'!$V$45</f>
        <v>16123.495041848289</v>
      </c>
      <c r="DK28" s="156">
        <f>DK16*'Inputs &amp; Assumptions'!$V$45</f>
        <v>16123.495041848289</v>
      </c>
      <c r="DL28" s="156">
        <f>DL16*'Inputs &amp; Assumptions'!$V$45</f>
        <v>16123.495041848289</v>
      </c>
      <c r="DM28" s="156">
        <f>DM16*'Inputs &amp; Assumptions'!$V$45</f>
        <v>16123.495041848289</v>
      </c>
      <c r="DN28" s="156">
        <f>DN16*'Inputs &amp; Assumptions'!$V$45</f>
        <v>16123.495041848289</v>
      </c>
      <c r="DO28" s="156">
        <f>DO16*'Inputs &amp; Assumptions'!$V$45</f>
        <v>16123.495041848289</v>
      </c>
      <c r="DP28" s="156">
        <f>DP16*'Inputs &amp; Assumptions'!$V$45</f>
        <v>16123.495041848289</v>
      </c>
      <c r="DQ28" s="156">
        <f>DQ16*'Inputs &amp; Assumptions'!$V$45</f>
        <v>16123.495041848289</v>
      </c>
      <c r="DR28" s="156">
        <f t="shared" si="36"/>
        <v>193481.94050217944</v>
      </c>
      <c r="DS28" s="156">
        <f>DS16*'Inputs &amp; Assumptions'!$V$45</f>
        <v>16607.199893103745</v>
      </c>
      <c r="DT28" s="156">
        <f>DT16*'Inputs &amp; Assumptions'!$V$45</f>
        <v>16607.199893103745</v>
      </c>
      <c r="DU28" s="156">
        <f>DU16*'Inputs &amp; Assumptions'!$V$45</f>
        <v>16607.199893103745</v>
      </c>
      <c r="DV28" s="156">
        <f>DV16*'Inputs &amp; Assumptions'!$V$45</f>
        <v>16607.199893103745</v>
      </c>
      <c r="DW28" s="156">
        <f>DW16*'Inputs &amp; Assumptions'!$V$45</f>
        <v>16607.199893103745</v>
      </c>
      <c r="DX28" s="156">
        <f>DX16*'Inputs &amp; Assumptions'!$V$45</f>
        <v>16607.199893103745</v>
      </c>
      <c r="DY28" s="156">
        <f>DY16*'Inputs &amp; Assumptions'!$V$45</f>
        <v>16607.199893103745</v>
      </c>
      <c r="DZ28" s="156">
        <f>DZ16*'Inputs &amp; Assumptions'!$V$45</f>
        <v>16607.199893103745</v>
      </c>
      <c r="EA28" s="156">
        <f>EA16*'Inputs &amp; Assumptions'!$V$45</f>
        <v>16607.199893103745</v>
      </c>
      <c r="EB28" s="156">
        <f>EB16*'Inputs &amp; Assumptions'!$V$45</f>
        <v>16607.199893103745</v>
      </c>
      <c r="EC28" s="156">
        <f>EC16*'Inputs &amp; Assumptions'!$V$45</f>
        <v>16607.199893103745</v>
      </c>
      <c r="ED28" s="156">
        <f>ED16*'Inputs &amp; Assumptions'!$V$45</f>
        <v>16607.199893103745</v>
      </c>
      <c r="EE28" s="243">
        <f t="shared" si="38"/>
        <v>199286.39871724488</v>
      </c>
      <c r="EF28" s="11"/>
    </row>
    <row r="29" spans="2:139">
      <c r="B29" s="161" t="str">
        <f>'Inputs &amp; Assumptions'!$B$38</f>
        <v>Property Taxes</v>
      </c>
      <c r="E29" s="12" t="e">
        <f>'Inputs &amp; Assumptions'!#REF!</f>
        <v>#REF!</v>
      </c>
      <c r="F29" s="12">
        <f>'Inputs &amp; Assumptions'!F38/12</f>
        <v>46115.5</v>
      </c>
      <c r="G29" s="12">
        <f t="shared" ref="G29:H29" si="225">F29</f>
        <v>46115.5</v>
      </c>
      <c r="H29" s="12">
        <f t="shared" si="225"/>
        <v>46115.5</v>
      </c>
      <c r="I29" s="12">
        <f t="shared" ref="I29:Q29" si="226">H29</f>
        <v>46115.5</v>
      </c>
      <c r="J29" s="12">
        <f t="shared" si="226"/>
        <v>46115.5</v>
      </c>
      <c r="K29" s="12">
        <f t="shared" si="226"/>
        <v>46115.5</v>
      </c>
      <c r="L29" s="12">
        <f t="shared" si="226"/>
        <v>46115.5</v>
      </c>
      <c r="M29" s="12">
        <f t="shared" si="226"/>
        <v>46115.5</v>
      </c>
      <c r="N29" s="12">
        <f t="shared" si="226"/>
        <v>46115.5</v>
      </c>
      <c r="O29" s="12">
        <f t="shared" si="226"/>
        <v>46115.5</v>
      </c>
      <c r="P29" s="12">
        <f t="shared" si="226"/>
        <v>46115.5</v>
      </c>
      <c r="Q29" s="12">
        <f t="shared" si="226"/>
        <v>46115.5</v>
      </c>
      <c r="R29" s="12">
        <f t="shared" si="138"/>
        <v>553386</v>
      </c>
      <c r="S29" s="12">
        <f>Q29*(1+'Inputs &amp; Assumptions'!$V$75)</f>
        <v>47498.965000000004</v>
      </c>
      <c r="T29" s="12">
        <f t="shared" ref="T29:AD29" si="227">S29</f>
        <v>47498.965000000004</v>
      </c>
      <c r="U29" s="12">
        <f t="shared" si="227"/>
        <v>47498.965000000004</v>
      </c>
      <c r="V29" s="12">
        <f t="shared" si="227"/>
        <v>47498.965000000004</v>
      </c>
      <c r="W29" s="12">
        <f t="shared" si="227"/>
        <v>47498.965000000004</v>
      </c>
      <c r="X29" s="12">
        <f t="shared" si="227"/>
        <v>47498.965000000004</v>
      </c>
      <c r="Y29" s="12">
        <f t="shared" si="227"/>
        <v>47498.965000000004</v>
      </c>
      <c r="Z29" s="12">
        <f t="shared" si="227"/>
        <v>47498.965000000004</v>
      </c>
      <c r="AA29" s="12">
        <f t="shared" si="227"/>
        <v>47498.965000000004</v>
      </c>
      <c r="AB29" s="12">
        <f t="shared" si="227"/>
        <v>47498.965000000004</v>
      </c>
      <c r="AC29" s="12">
        <f t="shared" si="227"/>
        <v>47498.965000000004</v>
      </c>
      <c r="AD29" s="12">
        <f t="shared" si="227"/>
        <v>47498.965000000004</v>
      </c>
      <c r="AE29" s="12">
        <f t="shared" si="127"/>
        <v>569987.58000000019</v>
      </c>
      <c r="AF29" s="12">
        <f>AD29*(1+'Inputs &amp; Assumptions'!$V$76)</f>
        <v>48923.933950000006</v>
      </c>
      <c r="AG29" s="12">
        <f t="shared" ref="AG29:AQ29" si="228">AF29</f>
        <v>48923.933950000006</v>
      </c>
      <c r="AH29" s="12">
        <f t="shared" si="228"/>
        <v>48923.933950000006</v>
      </c>
      <c r="AI29" s="12">
        <f t="shared" si="228"/>
        <v>48923.933950000006</v>
      </c>
      <c r="AJ29" s="12">
        <f t="shared" si="228"/>
        <v>48923.933950000006</v>
      </c>
      <c r="AK29" s="12">
        <f t="shared" si="228"/>
        <v>48923.933950000006</v>
      </c>
      <c r="AL29" s="12">
        <f t="shared" si="228"/>
        <v>48923.933950000006</v>
      </c>
      <c r="AM29" s="12">
        <f t="shared" si="228"/>
        <v>48923.933950000006</v>
      </c>
      <c r="AN29" s="12">
        <f t="shared" si="228"/>
        <v>48923.933950000006</v>
      </c>
      <c r="AO29" s="12">
        <f t="shared" si="228"/>
        <v>48923.933950000006</v>
      </c>
      <c r="AP29" s="12">
        <f t="shared" si="228"/>
        <v>48923.933950000006</v>
      </c>
      <c r="AQ29" s="12">
        <f t="shared" si="228"/>
        <v>48923.933950000006</v>
      </c>
      <c r="AR29" s="12">
        <f t="shared" si="24"/>
        <v>587087.20739999996</v>
      </c>
      <c r="AS29" s="12">
        <f>AQ29*(1+'Inputs &amp; Assumptions'!$V$77)</f>
        <v>50391.651968500009</v>
      </c>
      <c r="AT29" s="12">
        <f t="shared" ref="AT29:BD29" si="229">AS29</f>
        <v>50391.651968500009</v>
      </c>
      <c r="AU29" s="12">
        <f t="shared" si="229"/>
        <v>50391.651968500009</v>
      </c>
      <c r="AV29" s="12">
        <f t="shared" si="229"/>
        <v>50391.651968500009</v>
      </c>
      <c r="AW29" s="12">
        <f t="shared" si="229"/>
        <v>50391.651968500009</v>
      </c>
      <c r="AX29" s="12">
        <f t="shared" si="229"/>
        <v>50391.651968500009</v>
      </c>
      <c r="AY29" s="12">
        <f t="shared" si="229"/>
        <v>50391.651968500009</v>
      </c>
      <c r="AZ29" s="12">
        <f t="shared" si="229"/>
        <v>50391.651968500009</v>
      </c>
      <c r="BA29" s="12">
        <f t="shared" si="229"/>
        <v>50391.651968500009</v>
      </c>
      <c r="BB29" s="12">
        <f t="shared" si="229"/>
        <v>50391.651968500009</v>
      </c>
      <c r="BC29" s="12">
        <f t="shared" si="229"/>
        <v>50391.651968500009</v>
      </c>
      <c r="BD29" s="12">
        <f t="shared" si="229"/>
        <v>50391.651968500009</v>
      </c>
      <c r="BE29" s="12">
        <f t="shared" si="26"/>
        <v>604699.82362200005</v>
      </c>
      <c r="BF29" s="12">
        <f>BD29*(1+'Inputs &amp; Assumptions'!$V$78)</f>
        <v>51903.401527555012</v>
      </c>
      <c r="BG29" s="12">
        <f t="shared" ref="BG29:BQ29" si="230">BF29</f>
        <v>51903.401527555012</v>
      </c>
      <c r="BH29" s="12">
        <f t="shared" si="230"/>
        <v>51903.401527555012</v>
      </c>
      <c r="BI29" s="12">
        <f t="shared" si="230"/>
        <v>51903.401527555012</v>
      </c>
      <c r="BJ29" s="12">
        <f t="shared" si="230"/>
        <v>51903.401527555012</v>
      </c>
      <c r="BK29" s="12">
        <f t="shared" si="230"/>
        <v>51903.401527555012</v>
      </c>
      <c r="BL29" s="12">
        <f t="shared" si="230"/>
        <v>51903.401527555012</v>
      </c>
      <c r="BM29" s="12">
        <f t="shared" si="230"/>
        <v>51903.401527555012</v>
      </c>
      <c r="BN29" s="12">
        <f t="shared" si="230"/>
        <v>51903.401527555012</v>
      </c>
      <c r="BO29" s="12">
        <f t="shared" si="230"/>
        <v>51903.401527555012</v>
      </c>
      <c r="BP29" s="12">
        <f t="shared" si="230"/>
        <v>51903.401527555012</v>
      </c>
      <c r="BQ29" s="12">
        <f t="shared" si="230"/>
        <v>51903.401527555012</v>
      </c>
      <c r="BR29" s="12">
        <f t="shared" si="28"/>
        <v>622840.81833066011</v>
      </c>
      <c r="BS29" s="12">
        <f>BQ29*(1+'Inputs &amp; Assumptions'!$V$78)</f>
        <v>53460.503573381662</v>
      </c>
      <c r="BT29" s="12">
        <f t="shared" ref="BT29:CD29" si="231">BS29</f>
        <v>53460.503573381662</v>
      </c>
      <c r="BU29" s="12">
        <f t="shared" si="231"/>
        <v>53460.503573381662</v>
      </c>
      <c r="BV29" s="12">
        <f t="shared" si="231"/>
        <v>53460.503573381662</v>
      </c>
      <c r="BW29" s="12">
        <f t="shared" si="231"/>
        <v>53460.503573381662</v>
      </c>
      <c r="BX29" s="12">
        <f t="shared" si="231"/>
        <v>53460.503573381662</v>
      </c>
      <c r="BY29" s="12">
        <f t="shared" si="231"/>
        <v>53460.503573381662</v>
      </c>
      <c r="BZ29" s="12">
        <f t="shared" si="231"/>
        <v>53460.503573381662</v>
      </c>
      <c r="CA29" s="12">
        <f t="shared" si="231"/>
        <v>53460.503573381662</v>
      </c>
      <c r="CB29" s="12">
        <f t="shared" si="231"/>
        <v>53460.503573381662</v>
      </c>
      <c r="CC29" s="12">
        <f t="shared" si="231"/>
        <v>53460.503573381662</v>
      </c>
      <c r="CD29" s="12">
        <f t="shared" si="231"/>
        <v>53460.503573381662</v>
      </c>
      <c r="CE29" s="12">
        <f t="shared" si="30"/>
        <v>641526.04288058018</v>
      </c>
      <c r="CF29" s="12">
        <f>CD29*(1+'Inputs &amp; Assumptions'!$V$78)</f>
        <v>55064.318680583114</v>
      </c>
      <c r="CG29" s="12">
        <f t="shared" ref="CG29:CQ29" si="232">CF29</f>
        <v>55064.318680583114</v>
      </c>
      <c r="CH29" s="12">
        <f t="shared" si="232"/>
        <v>55064.318680583114</v>
      </c>
      <c r="CI29" s="12">
        <f t="shared" si="232"/>
        <v>55064.318680583114</v>
      </c>
      <c r="CJ29" s="12">
        <f t="shared" si="232"/>
        <v>55064.318680583114</v>
      </c>
      <c r="CK29" s="12">
        <f t="shared" si="232"/>
        <v>55064.318680583114</v>
      </c>
      <c r="CL29" s="12">
        <f t="shared" si="232"/>
        <v>55064.318680583114</v>
      </c>
      <c r="CM29" s="12">
        <f t="shared" si="232"/>
        <v>55064.318680583114</v>
      </c>
      <c r="CN29" s="12">
        <f t="shared" si="232"/>
        <v>55064.318680583114</v>
      </c>
      <c r="CO29" s="12">
        <f t="shared" si="232"/>
        <v>55064.318680583114</v>
      </c>
      <c r="CP29" s="12">
        <f t="shared" si="232"/>
        <v>55064.318680583114</v>
      </c>
      <c r="CQ29" s="12">
        <f t="shared" si="232"/>
        <v>55064.318680583114</v>
      </c>
      <c r="CR29" s="12">
        <f t="shared" si="32"/>
        <v>660771.82416699734</v>
      </c>
      <c r="CS29" s="12">
        <f>CQ29*(1+'Inputs &amp; Assumptions'!$V$78)</f>
        <v>56716.248241000605</v>
      </c>
      <c r="CT29" s="12">
        <f t="shared" ref="CT29:DD29" si="233">CS29</f>
        <v>56716.248241000605</v>
      </c>
      <c r="CU29" s="12">
        <f t="shared" si="233"/>
        <v>56716.248241000605</v>
      </c>
      <c r="CV29" s="12">
        <f t="shared" si="233"/>
        <v>56716.248241000605</v>
      </c>
      <c r="CW29" s="12">
        <f t="shared" si="233"/>
        <v>56716.248241000605</v>
      </c>
      <c r="CX29" s="12">
        <f t="shared" si="233"/>
        <v>56716.248241000605</v>
      </c>
      <c r="CY29" s="12">
        <f t="shared" si="233"/>
        <v>56716.248241000605</v>
      </c>
      <c r="CZ29" s="12">
        <f t="shared" si="233"/>
        <v>56716.248241000605</v>
      </c>
      <c r="DA29" s="12">
        <f t="shared" si="233"/>
        <v>56716.248241000605</v>
      </c>
      <c r="DB29" s="12">
        <f t="shared" si="233"/>
        <v>56716.248241000605</v>
      </c>
      <c r="DC29" s="12">
        <f t="shared" si="233"/>
        <v>56716.248241000605</v>
      </c>
      <c r="DD29" s="12">
        <f t="shared" si="233"/>
        <v>56716.248241000605</v>
      </c>
      <c r="DE29" s="12">
        <f t="shared" si="34"/>
        <v>680594.97889200703</v>
      </c>
      <c r="DF29" s="12">
        <f>DD29*(1+'Inputs &amp; Assumptions'!$V$78)</f>
        <v>58417.735688230627</v>
      </c>
      <c r="DG29" s="12">
        <f t="shared" ref="DG29:DQ29" si="234">DF29</f>
        <v>58417.735688230627</v>
      </c>
      <c r="DH29" s="12">
        <f t="shared" si="234"/>
        <v>58417.735688230627</v>
      </c>
      <c r="DI29" s="12">
        <f t="shared" si="234"/>
        <v>58417.735688230627</v>
      </c>
      <c r="DJ29" s="12">
        <f t="shared" si="234"/>
        <v>58417.735688230627</v>
      </c>
      <c r="DK29" s="12">
        <f t="shared" si="234"/>
        <v>58417.735688230627</v>
      </c>
      <c r="DL29" s="12">
        <f t="shared" si="234"/>
        <v>58417.735688230627</v>
      </c>
      <c r="DM29" s="12">
        <f t="shared" si="234"/>
        <v>58417.735688230627</v>
      </c>
      <c r="DN29" s="12">
        <f t="shared" si="234"/>
        <v>58417.735688230627</v>
      </c>
      <c r="DO29" s="12">
        <f t="shared" si="234"/>
        <v>58417.735688230627</v>
      </c>
      <c r="DP29" s="12">
        <f t="shared" si="234"/>
        <v>58417.735688230627</v>
      </c>
      <c r="DQ29" s="12">
        <f t="shared" si="234"/>
        <v>58417.735688230627</v>
      </c>
      <c r="DR29" s="12">
        <f t="shared" si="36"/>
        <v>701012.82825876737</v>
      </c>
      <c r="DS29" s="12">
        <f>DQ29*(1+'Inputs &amp; Assumptions'!$V$78)</f>
        <v>60170.267758877548</v>
      </c>
      <c r="DT29" s="12">
        <f t="shared" ref="DT29:ED29" si="235">DS29</f>
        <v>60170.267758877548</v>
      </c>
      <c r="DU29" s="12">
        <f t="shared" si="235"/>
        <v>60170.267758877548</v>
      </c>
      <c r="DV29" s="12">
        <f t="shared" si="235"/>
        <v>60170.267758877548</v>
      </c>
      <c r="DW29" s="12">
        <f t="shared" si="235"/>
        <v>60170.267758877548</v>
      </c>
      <c r="DX29" s="12">
        <f t="shared" si="235"/>
        <v>60170.267758877548</v>
      </c>
      <c r="DY29" s="12">
        <f t="shared" si="235"/>
        <v>60170.267758877548</v>
      </c>
      <c r="DZ29" s="12">
        <f t="shared" si="235"/>
        <v>60170.267758877548</v>
      </c>
      <c r="EA29" s="12">
        <f t="shared" si="235"/>
        <v>60170.267758877548</v>
      </c>
      <c r="EB29" s="12">
        <f t="shared" si="235"/>
        <v>60170.267758877548</v>
      </c>
      <c r="EC29" s="12">
        <f t="shared" si="235"/>
        <v>60170.267758877548</v>
      </c>
      <c r="ED29" s="12">
        <f t="shared" si="235"/>
        <v>60170.267758877548</v>
      </c>
      <c r="EE29" s="242">
        <f t="shared" si="38"/>
        <v>722043.21310653072</v>
      </c>
      <c r="EF29" s="11"/>
    </row>
    <row r="30" spans="2:139">
      <c r="B30" s="187" t="str">
        <f>'Inputs &amp; Assumptions'!$B$39</f>
        <v>Replacement Reserves</v>
      </c>
      <c r="C30" s="1056"/>
      <c r="D30" s="1056"/>
      <c r="E30" s="156" t="e">
        <f>'Inputs &amp; Assumptions'!#REF!</f>
        <v>#REF!</v>
      </c>
      <c r="F30" s="156">
        <f>'Inputs &amp; Assumptions'!F39/12</f>
        <v>4166.666666666667</v>
      </c>
      <c r="G30" s="156">
        <f t="shared" ref="G30:H30" si="236">F30</f>
        <v>4166.666666666667</v>
      </c>
      <c r="H30" s="156">
        <f t="shared" si="236"/>
        <v>4166.666666666667</v>
      </c>
      <c r="I30" s="156">
        <f t="shared" ref="I30:Q30" si="237">H30</f>
        <v>4166.666666666667</v>
      </c>
      <c r="J30" s="156">
        <f t="shared" si="237"/>
        <v>4166.666666666667</v>
      </c>
      <c r="K30" s="156">
        <f t="shared" si="237"/>
        <v>4166.666666666667</v>
      </c>
      <c r="L30" s="156">
        <f t="shared" si="237"/>
        <v>4166.666666666667</v>
      </c>
      <c r="M30" s="156">
        <f t="shared" si="237"/>
        <v>4166.666666666667</v>
      </c>
      <c r="N30" s="156">
        <f t="shared" si="237"/>
        <v>4166.666666666667</v>
      </c>
      <c r="O30" s="156">
        <f t="shared" si="237"/>
        <v>4166.666666666667</v>
      </c>
      <c r="P30" s="156">
        <f t="shared" si="237"/>
        <v>4166.666666666667</v>
      </c>
      <c r="Q30" s="156">
        <f t="shared" si="237"/>
        <v>4166.666666666667</v>
      </c>
      <c r="R30" s="156">
        <f t="shared" si="138"/>
        <v>49999.999999999993</v>
      </c>
      <c r="S30" s="156">
        <f>Q30*(1+'Inputs &amp; Assumptions'!$V$75)</f>
        <v>4291.666666666667</v>
      </c>
      <c r="T30" s="156">
        <f t="shared" ref="T30:AD30" si="238">S30</f>
        <v>4291.666666666667</v>
      </c>
      <c r="U30" s="156">
        <f t="shared" si="238"/>
        <v>4291.666666666667</v>
      </c>
      <c r="V30" s="156">
        <f t="shared" si="238"/>
        <v>4291.666666666667</v>
      </c>
      <c r="W30" s="156">
        <f t="shared" si="238"/>
        <v>4291.666666666667</v>
      </c>
      <c r="X30" s="156">
        <f t="shared" si="238"/>
        <v>4291.666666666667</v>
      </c>
      <c r="Y30" s="156">
        <f t="shared" si="238"/>
        <v>4291.666666666667</v>
      </c>
      <c r="Z30" s="156">
        <f t="shared" si="238"/>
        <v>4291.666666666667</v>
      </c>
      <c r="AA30" s="156">
        <f t="shared" si="238"/>
        <v>4291.666666666667</v>
      </c>
      <c r="AB30" s="156">
        <f t="shared" si="238"/>
        <v>4291.666666666667</v>
      </c>
      <c r="AC30" s="156">
        <f t="shared" si="238"/>
        <v>4291.666666666667</v>
      </c>
      <c r="AD30" s="156">
        <f t="shared" si="238"/>
        <v>4291.666666666667</v>
      </c>
      <c r="AE30" s="156">
        <f t="shared" si="127"/>
        <v>51499.999999999993</v>
      </c>
      <c r="AF30" s="156">
        <f>AD30*(1+'Inputs &amp; Assumptions'!$V$76)</f>
        <v>4420.416666666667</v>
      </c>
      <c r="AG30" s="156">
        <f t="shared" ref="AG30:AQ30" si="239">AF30</f>
        <v>4420.416666666667</v>
      </c>
      <c r="AH30" s="156">
        <f t="shared" si="239"/>
        <v>4420.416666666667</v>
      </c>
      <c r="AI30" s="156">
        <f t="shared" si="239"/>
        <v>4420.416666666667</v>
      </c>
      <c r="AJ30" s="156">
        <f t="shared" si="239"/>
        <v>4420.416666666667</v>
      </c>
      <c r="AK30" s="156">
        <f t="shared" si="239"/>
        <v>4420.416666666667</v>
      </c>
      <c r="AL30" s="156">
        <f t="shared" si="239"/>
        <v>4420.416666666667</v>
      </c>
      <c r="AM30" s="156">
        <f t="shared" si="239"/>
        <v>4420.416666666667</v>
      </c>
      <c r="AN30" s="156">
        <f t="shared" si="239"/>
        <v>4420.416666666667</v>
      </c>
      <c r="AO30" s="156">
        <f t="shared" si="239"/>
        <v>4420.416666666667</v>
      </c>
      <c r="AP30" s="156">
        <f t="shared" si="239"/>
        <v>4420.416666666667</v>
      </c>
      <c r="AQ30" s="156">
        <f t="shared" si="239"/>
        <v>4420.416666666667</v>
      </c>
      <c r="AR30" s="156">
        <f t="shared" si="24"/>
        <v>53044.999999999993</v>
      </c>
      <c r="AS30" s="156">
        <f>AQ30*(1+'Inputs &amp; Assumptions'!$V$77)</f>
        <v>4553.0291666666672</v>
      </c>
      <c r="AT30" s="156">
        <f t="shared" ref="AT30:BD30" si="240">AS30</f>
        <v>4553.0291666666672</v>
      </c>
      <c r="AU30" s="156">
        <f t="shared" si="240"/>
        <v>4553.0291666666672</v>
      </c>
      <c r="AV30" s="156">
        <f t="shared" si="240"/>
        <v>4553.0291666666672</v>
      </c>
      <c r="AW30" s="156">
        <f t="shared" si="240"/>
        <v>4553.0291666666672</v>
      </c>
      <c r="AX30" s="156">
        <f t="shared" si="240"/>
        <v>4553.0291666666672</v>
      </c>
      <c r="AY30" s="156">
        <f t="shared" si="240"/>
        <v>4553.0291666666672</v>
      </c>
      <c r="AZ30" s="156">
        <f t="shared" si="240"/>
        <v>4553.0291666666672</v>
      </c>
      <c r="BA30" s="156">
        <f t="shared" si="240"/>
        <v>4553.0291666666672</v>
      </c>
      <c r="BB30" s="156">
        <f t="shared" si="240"/>
        <v>4553.0291666666672</v>
      </c>
      <c r="BC30" s="156">
        <f t="shared" si="240"/>
        <v>4553.0291666666672</v>
      </c>
      <c r="BD30" s="156">
        <f t="shared" si="240"/>
        <v>4553.0291666666672</v>
      </c>
      <c r="BE30" s="156">
        <f t="shared" si="26"/>
        <v>54636.350000000006</v>
      </c>
      <c r="BF30" s="156">
        <f>BD30*(1+'Inputs &amp; Assumptions'!$V$78)</f>
        <v>4689.620041666667</v>
      </c>
      <c r="BG30" s="156">
        <f t="shared" ref="BG30:BQ30" si="241">BF30</f>
        <v>4689.620041666667</v>
      </c>
      <c r="BH30" s="156">
        <f t="shared" si="241"/>
        <v>4689.620041666667</v>
      </c>
      <c r="BI30" s="156">
        <f t="shared" si="241"/>
        <v>4689.620041666667</v>
      </c>
      <c r="BJ30" s="156">
        <f t="shared" si="241"/>
        <v>4689.620041666667</v>
      </c>
      <c r="BK30" s="156">
        <f t="shared" si="241"/>
        <v>4689.620041666667</v>
      </c>
      <c r="BL30" s="156">
        <f t="shared" si="241"/>
        <v>4689.620041666667</v>
      </c>
      <c r="BM30" s="156">
        <f t="shared" si="241"/>
        <v>4689.620041666667</v>
      </c>
      <c r="BN30" s="156">
        <f t="shared" si="241"/>
        <v>4689.620041666667</v>
      </c>
      <c r="BO30" s="156">
        <f t="shared" si="241"/>
        <v>4689.620041666667</v>
      </c>
      <c r="BP30" s="156">
        <f t="shared" si="241"/>
        <v>4689.620041666667</v>
      </c>
      <c r="BQ30" s="156">
        <f t="shared" si="241"/>
        <v>4689.620041666667</v>
      </c>
      <c r="BR30" s="156">
        <f t="shared" si="28"/>
        <v>56275.440500000019</v>
      </c>
      <c r="BS30" s="156">
        <f>BQ30*(1+'Inputs &amp; Assumptions'!$V$78)</f>
        <v>4830.3086429166669</v>
      </c>
      <c r="BT30" s="156">
        <f t="shared" ref="BT30:CD30" si="242">BS30</f>
        <v>4830.3086429166669</v>
      </c>
      <c r="BU30" s="156">
        <f t="shared" si="242"/>
        <v>4830.3086429166669</v>
      </c>
      <c r="BV30" s="156">
        <f t="shared" si="242"/>
        <v>4830.3086429166669</v>
      </c>
      <c r="BW30" s="156">
        <f t="shared" si="242"/>
        <v>4830.3086429166669</v>
      </c>
      <c r="BX30" s="156">
        <f t="shared" si="242"/>
        <v>4830.3086429166669</v>
      </c>
      <c r="BY30" s="156">
        <f t="shared" si="242"/>
        <v>4830.3086429166669</v>
      </c>
      <c r="BZ30" s="156">
        <f t="shared" si="242"/>
        <v>4830.3086429166669</v>
      </c>
      <c r="CA30" s="156">
        <f t="shared" si="242"/>
        <v>4830.3086429166669</v>
      </c>
      <c r="CB30" s="156">
        <f t="shared" si="242"/>
        <v>4830.3086429166669</v>
      </c>
      <c r="CC30" s="156">
        <f t="shared" si="242"/>
        <v>4830.3086429166669</v>
      </c>
      <c r="CD30" s="156">
        <f t="shared" si="242"/>
        <v>4830.3086429166669</v>
      </c>
      <c r="CE30" s="156">
        <f t="shared" si="30"/>
        <v>57963.703714999989</v>
      </c>
      <c r="CF30" s="156">
        <f>CD30*(1+'Inputs &amp; Assumptions'!$V$78)</f>
        <v>4975.2179022041673</v>
      </c>
      <c r="CG30" s="156">
        <f t="shared" ref="CG30:CQ30" si="243">CF30</f>
        <v>4975.2179022041673</v>
      </c>
      <c r="CH30" s="156">
        <f t="shared" si="243"/>
        <v>4975.2179022041673</v>
      </c>
      <c r="CI30" s="156">
        <f t="shared" si="243"/>
        <v>4975.2179022041673</v>
      </c>
      <c r="CJ30" s="156">
        <f t="shared" si="243"/>
        <v>4975.2179022041673</v>
      </c>
      <c r="CK30" s="156">
        <f t="shared" si="243"/>
        <v>4975.2179022041673</v>
      </c>
      <c r="CL30" s="156">
        <f t="shared" si="243"/>
        <v>4975.2179022041673</v>
      </c>
      <c r="CM30" s="156">
        <f t="shared" si="243"/>
        <v>4975.2179022041673</v>
      </c>
      <c r="CN30" s="156">
        <f t="shared" si="243"/>
        <v>4975.2179022041673</v>
      </c>
      <c r="CO30" s="156">
        <f t="shared" si="243"/>
        <v>4975.2179022041673</v>
      </c>
      <c r="CP30" s="156">
        <f t="shared" si="243"/>
        <v>4975.2179022041673</v>
      </c>
      <c r="CQ30" s="156">
        <f t="shared" si="243"/>
        <v>4975.2179022041673</v>
      </c>
      <c r="CR30" s="156">
        <f t="shared" si="32"/>
        <v>59702.614826450008</v>
      </c>
      <c r="CS30" s="156">
        <f>CQ30*(1+'Inputs &amp; Assumptions'!$V$78)</f>
        <v>5124.4744392702924</v>
      </c>
      <c r="CT30" s="156">
        <f t="shared" ref="CT30:DD30" si="244">CS30</f>
        <v>5124.4744392702924</v>
      </c>
      <c r="CU30" s="156">
        <f t="shared" si="244"/>
        <v>5124.4744392702924</v>
      </c>
      <c r="CV30" s="156">
        <f t="shared" si="244"/>
        <v>5124.4744392702924</v>
      </c>
      <c r="CW30" s="156">
        <f t="shared" si="244"/>
        <v>5124.4744392702924</v>
      </c>
      <c r="CX30" s="156">
        <f t="shared" si="244"/>
        <v>5124.4744392702924</v>
      </c>
      <c r="CY30" s="156">
        <f t="shared" si="244"/>
        <v>5124.4744392702924</v>
      </c>
      <c r="CZ30" s="156">
        <f t="shared" si="244"/>
        <v>5124.4744392702924</v>
      </c>
      <c r="DA30" s="156">
        <f t="shared" si="244"/>
        <v>5124.4744392702924</v>
      </c>
      <c r="DB30" s="156">
        <f t="shared" si="244"/>
        <v>5124.4744392702924</v>
      </c>
      <c r="DC30" s="156">
        <f t="shared" si="244"/>
        <v>5124.4744392702924</v>
      </c>
      <c r="DD30" s="156">
        <f t="shared" si="244"/>
        <v>5124.4744392702924</v>
      </c>
      <c r="DE30" s="156">
        <f t="shared" si="34"/>
        <v>61493.693271243508</v>
      </c>
      <c r="DF30" s="156">
        <f>DD30*(1+'Inputs &amp; Assumptions'!$V$78)</f>
        <v>5278.2086724484016</v>
      </c>
      <c r="DG30" s="156">
        <f t="shared" ref="DG30:DQ30" si="245">DF30</f>
        <v>5278.2086724484016</v>
      </c>
      <c r="DH30" s="156">
        <f t="shared" si="245"/>
        <v>5278.2086724484016</v>
      </c>
      <c r="DI30" s="156">
        <f t="shared" si="245"/>
        <v>5278.2086724484016</v>
      </c>
      <c r="DJ30" s="156">
        <f t="shared" si="245"/>
        <v>5278.2086724484016</v>
      </c>
      <c r="DK30" s="156">
        <f t="shared" si="245"/>
        <v>5278.2086724484016</v>
      </c>
      <c r="DL30" s="156">
        <f t="shared" si="245"/>
        <v>5278.2086724484016</v>
      </c>
      <c r="DM30" s="156">
        <f t="shared" si="245"/>
        <v>5278.2086724484016</v>
      </c>
      <c r="DN30" s="156">
        <f t="shared" si="245"/>
        <v>5278.2086724484016</v>
      </c>
      <c r="DO30" s="156">
        <f t="shared" si="245"/>
        <v>5278.2086724484016</v>
      </c>
      <c r="DP30" s="156">
        <f t="shared" si="245"/>
        <v>5278.2086724484016</v>
      </c>
      <c r="DQ30" s="156">
        <f t="shared" si="245"/>
        <v>5278.2086724484016</v>
      </c>
      <c r="DR30" s="156">
        <f t="shared" si="36"/>
        <v>63338.504069380833</v>
      </c>
      <c r="DS30" s="156">
        <f>DQ30*(1+'Inputs &amp; Assumptions'!$V$78)</f>
        <v>5436.5549326218534</v>
      </c>
      <c r="DT30" s="156">
        <f t="shared" ref="DT30:ED30" si="246">DS30</f>
        <v>5436.5549326218534</v>
      </c>
      <c r="DU30" s="156">
        <f t="shared" si="246"/>
        <v>5436.5549326218534</v>
      </c>
      <c r="DV30" s="156">
        <f t="shared" si="246"/>
        <v>5436.5549326218534</v>
      </c>
      <c r="DW30" s="156">
        <f t="shared" si="246"/>
        <v>5436.5549326218534</v>
      </c>
      <c r="DX30" s="156">
        <f t="shared" si="246"/>
        <v>5436.5549326218534</v>
      </c>
      <c r="DY30" s="156">
        <f t="shared" si="246"/>
        <v>5436.5549326218534</v>
      </c>
      <c r="DZ30" s="156">
        <f t="shared" si="246"/>
        <v>5436.5549326218534</v>
      </c>
      <c r="EA30" s="156">
        <f t="shared" si="246"/>
        <v>5436.5549326218534</v>
      </c>
      <c r="EB30" s="156">
        <f t="shared" si="246"/>
        <v>5436.5549326218534</v>
      </c>
      <c r="EC30" s="156">
        <f t="shared" si="246"/>
        <v>5436.5549326218534</v>
      </c>
      <c r="ED30" s="156">
        <f t="shared" si="246"/>
        <v>5436.5549326218534</v>
      </c>
      <c r="EE30" s="243">
        <f t="shared" si="38"/>
        <v>65238.65919146224</v>
      </c>
      <c r="EF30" s="11"/>
    </row>
    <row r="31" spans="2:139">
      <c r="B31" s="161" t="str">
        <f>'Inputs &amp; Assumptions'!$B$40</f>
        <v>Franchise Taxes</v>
      </c>
      <c r="E31" s="12" t="e">
        <f>'Inputs &amp; Assumptions'!#REF!</f>
        <v>#REF!</v>
      </c>
      <c r="F31" s="12">
        <f>'Inputs &amp; Assumptions'!F40/12</f>
        <v>0</v>
      </c>
      <c r="G31" s="12">
        <f t="shared" ref="G31:H31" si="247">F31</f>
        <v>0</v>
      </c>
      <c r="H31" s="12">
        <f t="shared" si="247"/>
        <v>0</v>
      </c>
      <c r="I31" s="12">
        <f t="shared" ref="I31:Q31" si="248">H31</f>
        <v>0</v>
      </c>
      <c r="J31" s="12">
        <f t="shared" si="248"/>
        <v>0</v>
      </c>
      <c r="K31" s="12">
        <f t="shared" si="248"/>
        <v>0</v>
      </c>
      <c r="L31" s="12">
        <f t="shared" si="248"/>
        <v>0</v>
      </c>
      <c r="M31" s="12">
        <f t="shared" si="248"/>
        <v>0</v>
      </c>
      <c r="N31" s="12">
        <f t="shared" si="248"/>
        <v>0</v>
      </c>
      <c r="O31" s="12">
        <f t="shared" si="248"/>
        <v>0</v>
      </c>
      <c r="P31" s="12">
        <f t="shared" si="248"/>
        <v>0</v>
      </c>
      <c r="Q31" s="12">
        <f t="shared" si="248"/>
        <v>0</v>
      </c>
      <c r="R31" s="12">
        <f t="shared" si="138"/>
        <v>0</v>
      </c>
      <c r="S31" s="12">
        <f>Q31*(1+'Inputs &amp; Assumptions'!$V$75)</f>
        <v>0</v>
      </c>
      <c r="T31" s="12">
        <f t="shared" ref="T31:AD31" si="249">S31</f>
        <v>0</v>
      </c>
      <c r="U31" s="12">
        <f t="shared" si="249"/>
        <v>0</v>
      </c>
      <c r="V31" s="12">
        <f t="shared" si="249"/>
        <v>0</v>
      </c>
      <c r="W31" s="12">
        <f t="shared" si="249"/>
        <v>0</v>
      </c>
      <c r="X31" s="12">
        <f t="shared" si="249"/>
        <v>0</v>
      </c>
      <c r="Y31" s="12">
        <f t="shared" si="249"/>
        <v>0</v>
      </c>
      <c r="Z31" s="12">
        <f t="shared" si="249"/>
        <v>0</v>
      </c>
      <c r="AA31" s="12">
        <f t="shared" si="249"/>
        <v>0</v>
      </c>
      <c r="AB31" s="12">
        <f t="shared" si="249"/>
        <v>0</v>
      </c>
      <c r="AC31" s="12">
        <f t="shared" si="249"/>
        <v>0</v>
      </c>
      <c r="AD31" s="12">
        <f t="shared" si="249"/>
        <v>0</v>
      </c>
      <c r="AE31" s="12">
        <f t="shared" si="127"/>
        <v>0</v>
      </c>
      <c r="AF31" s="12">
        <f>AD31*(1+'Inputs &amp; Assumptions'!$V$76)</f>
        <v>0</v>
      </c>
      <c r="AG31" s="12">
        <f t="shared" ref="AG31:AQ31" si="250">AF31</f>
        <v>0</v>
      </c>
      <c r="AH31" s="12">
        <f t="shared" si="250"/>
        <v>0</v>
      </c>
      <c r="AI31" s="12">
        <f t="shared" si="250"/>
        <v>0</v>
      </c>
      <c r="AJ31" s="12">
        <f t="shared" si="250"/>
        <v>0</v>
      </c>
      <c r="AK31" s="12">
        <f t="shared" si="250"/>
        <v>0</v>
      </c>
      <c r="AL31" s="12">
        <f t="shared" si="250"/>
        <v>0</v>
      </c>
      <c r="AM31" s="12">
        <f t="shared" si="250"/>
        <v>0</v>
      </c>
      <c r="AN31" s="12">
        <f t="shared" si="250"/>
        <v>0</v>
      </c>
      <c r="AO31" s="12">
        <f t="shared" si="250"/>
        <v>0</v>
      </c>
      <c r="AP31" s="12">
        <f t="shared" si="250"/>
        <v>0</v>
      </c>
      <c r="AQ31" s="12">
        <f t="shared" si="250"/>
        <v>0</v>
      </c>
      <c r="AR31" s="12">
        <f t="shared" si="24"/>
        <v>0</v>
      </c>
      <c r="AS31" s="12">
        <f>AQ31*(1+'Inputs &amp; Assumptions'!$V$77)</f>
        <v>0</v>
      </c>
      <c r="AT31" s="12">
        <f t="shared" ref="AT31:BD31" si="251">AS31</f>
        <v>0</v>
      </c>
      <c r="AU31" s="12">
        <f t="shared" si="251"/>
        <v>0</v>
      </c>
      <c r="AV31" s="12">
        <f t="shared" si="251"/>
        <v>0</v>
      </c>
      <c r="AW31" s="12">
        <f t="shared" si="251"/>
        <v>0</v>
      </c>
      <c r="AX31" s="12">
        <f t="shared" si="251"/>
        <v>0</v>
      </c>
      <c r="AY31" s="12">
        <f t="shared" si="251"/>
        <v>0</v>
      </c>
      <c r="AZ31" s="12">
        <f t="shared" si="251"/>
        <v>0</v>
      </c>
      <c r="BA31" s="12">
        <f t="shared" si="251"/>
        <v>0</v>
      </c>
      <c r="BB31" s="12">
        <f t="shared" si="251"/>
        <v>0</v>
      </c>
      <c r="BC31" s="12">
        <f t="shared" si="251"/>
        <v>0</v>
      </c>
      <c r="BD31" s="12">
        <f t="shared" si="251"/>
        <v>0</v>
      </c>
      <c r="BE31" s="12">
        <f t="shared" si="26"/>
        <v>0</v>
      </c>
      <c r="BF31" s="12">
        <f>BD31*(1+'Inputs &amp; Assumptions'!$V$78)</f>
        <v>0</v>
      </c>
      <c r="BG31" s="12">
        <f t="shared" ref="BG31:BQ31" si="252">BF31</f>
        <v>0</v>
      </c>
      <c r="BH31" s="12">
        <f t="shared" si="252"/>
        <v>0</v>
      </c>
      <c r="BI31" s="12">
        <f t="shared" si="252"/>
        <v>0</v>
      </c>
      <c r="BJ31" s="12">
        <f t="shared" si="252"/>
        <v>0</v>
      </c>
      <c r="BK31" s="12">
        <f t="shared" si="252"/>
        <v>0</v>
      </c>
      <c r="BL31" s="12">
        <f t="shared" si="252"/>
        <v>0</v>
      </c>
      <c r="BM31" s="12">
        <f t="shared" si="252"/>
        <v>0</v>
      </c>
      <c r="BN31" s="12">
        <f t="shared" si="252"/>
        <v>0</v>
      </c>
      <c r="BO31" s="12">
        <f t="shared" si="252"/>
        <v>0</v>
      </c>
      <c r="BP31" s="12">
        <f t="shared" si="252"/>
        <v>0</v>
      </c>
      <c r="BQ31" s="12">
        <f t="shared" si="252"/>
        <v>0</v>
      </c>
      <c r="BR31" s="12">
        <f t="shared" si="28"/>
        <v>0</v>
      </c>
      <c r="BS31" s="12">
        <f>BQ31*(1+'Inputs &amp; Assumptions'!$V$78)</f>
        <v>0</v>
      </c>
      <c r="BT31" s="12">
        <f t="shared" ref="BT31:CD31" si="253">BS31</f>
        <v>0</v>
      </c>
      <c r="BU31" s="12">
        <f t="shared" si="253"/>
        <v>0</v>
      </c>
      <c r="BV31" s="12">
        <f t="shared" si="253"/>
        <v>0</v>
      </c>
      <c r="BW31" s="12">
        <f t="shared" si="253"/>
        <v>0</v>
      </c>
      <c r="BX31" s="12">
        <f t="shared" si="253"/>
        <v>0</v>
      </c>
      <c r="BY31" s="12">
        <f t="shared" si="253"/>
        <v>0</v>
      </c>
      <c r="BZ31" s="12">
        <f t="shared" si="253"/>
        <v>0</v>
      </c>
      <c r="CA31" s="12">
        <f t="shared" si="253"/>
        <v>0</v>
      </c>
      <c r="CB31" s="12">
        <f t="shared" si="253"/>
        <v>0</v>
      </c>
      <c r="CC31" s="12">
        <f t="shared" si="253"/>
        <v>0</v>
      </c>
      <c r="CD31" s="12">
        <f t="shared" si="253"/>
        <v>0</v>
      </c>
      <c r="CE31" s="12">
        <f t="shared" si="30"/>
        <v>0</v>
      </c>
      <c r="CF31" s="12">
        <f>CD31*(1+'Inputs &amp; Assumptions'!$V$78)</f>
        <v>0</v>
      </c>
      <c r="CG31" s="12">
        <f t="shared" ref="CG31:CQ31" si="254">CF31</f>
        <v>0</v>
      </c>
      <c r="CH31" s="12">
        <f t="shared" si="254"/>
        <v>0</v>
      </c>
      <c r="CI31" s="12">
        <f t="shared" si="254"/>
        <v>0</v>
      </c>
      <c r="CJ31" s="12">
        <f t="shared" si="254"/>
        <v>0</v>
      </c>
      <c r="CK31" s="12">
        <f t="shared" si="254"/>
        <v>0</v>
      </c>
      <c r="CL31" s="12">
        <f t="shared" si="254"/>
        <v>0</v>
      </c>
      <c r="CM31" s="12">
        <f t="shared" si="254"/>
        <v>0</v>
      </c>
      <c r="CN31" s="12">
        <f t="shared" si="254"/>
        <v>0</v>
      </c>
      <c r="CO31" s="12">
        <f t="shared" si="254"/>
        <v>0</v>
      </c>
      <c r="CP31" s="12">
        <f t="shared" si="254"/>
        <v>0</v>
      </c>
      <c r="CQ31" s="12">
        <f t="shared" si="254"/>
        <v>0</v>
      </c>
      <c r="CR31" s="12">
        <f t="shared" si="32"/>
        <v>0</v>
      </c>
      <c r="CS31" s="12">
        <f>CQ31*(1+'Inputs &amp; Assumptions'!$V$78)</f>
        <v>0</v>
      </c>
      <c r="CT31" s="12">
        <f t="shared" ref="CT31:DD31" si="255">CS31</f>
        <v>0</v>
      </c>
      <c r="CU31" s="12">
        <f t="shared" si="255"/>
        <v>0</v>
      </c>
      <c r="CV31" s="12">
        <f t="shared" si="255"/>
        <v>0</v>
      </c>
      <c r="CW31" s="12">
        <f t="shared" si="255"/>
        <v>0</v>
      </c>
      <c r="CX31" s="12">
        <f t="shared" si="255"/>
        <v>0</v>
      </c>
      <c r="CY31" s="12">
        <f t="shared" si="255"/>
        <v>0</v>
      </c>
      <c r="CZ31" s="12">
        <f t="shared" si="255"/>
        <v>0</v>
      </c>
      <c r="DA31" s="12">
        <f t="shared" si="255"/>
        <v>0</v>
      </c>
      <c r="DB31" s="12">
        <f t="shared" si="255"/>
        <v>0</v>
      </c>
      <c r="DC31" s="12">
        <f t="shared" si="255"/>
        <v>0</v>
      </c>
      <c r="DD31" s="12">
        <f t="shared" si="255"/>
        <v>0</v>
      </c>
      <c r="DE31" s="12">
        <f t="shared" si="34"/>
        <v>0</v>
      </c>
      <c r="DF31" s="12">
        <f>DD31*(1+'Inputs &amp; Assumptions'!$V$78)</f>
        <v>0</v>
      </c>
      <c r="DG31" s="12">
        <f t="shared" ref="DG31:DQ31" si="256">DF31</f>
        <v>0</v>
      </c>
      <c r="DH31" s="12">
        <f t="shared" si="256"/>
        <v>0</v>
      </c>
      <c r="DI31" s="12">
        <f t="shared" si="256"/>
        <v>0</v>
      </c>
      <c r="DJ31" s="12">
        <f t="shared" si="256"/>
        <v>0</v>
      </c>
      <c r="DK31" s="12">
        <f t="shared" si="256"/>
        <v>0</v>
      </c>
      <c r="DL31" s="12">
        <f t="shared" si="256"/>
        <v>0</v>
      </c>
      <c r="DM31" s="12">
        <f t="shared" si="256"/>
        <v>0</v>
      </c>
      <c r="DN31" s="12">
        <f t="shared" si="256"/>
        <v>0</v>
      </c>
      <c r="DO31" s="12">
        <f t="shared" si="256"/>
        <v>0</v>
      </c>
      <c r="DP31" s="12">
        <f t="shared" si="256"/>
        <v>0</v>
      </c>
      <c r="DQ31" s="12">
        <f t="shared" si="256"/>
        <v>0</v>
      </c>
      <c r="DR31" s="12">
        <f t="shared" si="36"/>
        <v>0</v>
      </c>
      <c r="DS31" s="12">
        <f>DQ31*(1+'Inputs &amp; Assumptions'!$V$78)</f>
        <v>0</v>
      </c>
      <c r="DT31" s="12">
        <f t="shared" ref="DT31:ED31" si="257">DS31</f>
        <v>0</v>
      </c>
      <c r="DU31" s="12">
        <f t="shared" si="257"/>
        <v>0</v>
      </c>
      <c r="DV31" s="12">
        <f t="shared" si="257"/>
        <v>0</v>
      </c>
      <c r="DW31" s="12">
        <f t="shared" si="257"/>
        <v>0</v>
      </c>
      <c r="DX31" s="12">
        <f t="shared" si="257"/>
        <v>0</v>
      </c>
      <c r="DY31" s="12">
        <f t="shared" si="257"/>
        <v>0</v>
      </c>
      <c r="DZ31" s="12">
        <f t="shared" si="257"/>
        <v>0</v>
      </c>
      <c r="EA31" s="12">
        <f t="shared" si="257"/>
        <v>0</v>
      </c>
      <c r="EB31" s="12">
        <f t="shared" si="257"/>
        <v>0</v>
      </c>
      <c r="EC31" s="12">
        <f t="shared" si="257"/>
        <v>0</v>
      </c>
      <c r="ED31" s="12">
        <f t="shared" si="257"/>
        <v>0</v>
      </c>
      <c r="EE31" s="242">
        <f t="shared" si="38"/>
        <v>0</v>
      </c>
      <c r="EF31" s="11"/>
    </row>
    <row r="32" spans="2:139">
      <c r="B32" s="753" t="s">
        <v>303</v>
      </c>
      <c r="C32" s="1098"/>
      <c r="D32" s="1098"/>
      <c r="E32" s="1057" t="e">
        <f>'Inputs &amp; Assumptions'!#REF!</f>
        <v>#REF!</v>
      </c>
      <c r="F32" s="1057">
        <f>SUM(F19:F31)</f>
        <v>143428.23435563332</v>
      </c>
      <c r="G32" s="1057">
        <f>SUM(G19:G31)</f>
        <v>143428.23435563332</v>
      </c>
      <c r="H32" s="1057">
        <f t="shared" ref="H32:BQ32" si="258">SUM(H19:H31)</f>
        <v>143428.23435563332</v>
      </c>
      <c r="I32" s="1057">
        <f t="shared" si="258"/>
        <v>143428.23435563332</v>
      </c>
      <c r="J32" s="1057">
        <f t="shared" si="258"/>
        <v>143428.23435563332</v>
      </c>
      <c r="K32" s="1057">
        <f t="shared" si="258"/>
        <v>143428.23435563332</v>
      </c>
      <c r="L32" s="1057">
        <f t="shared" si="258"/>
        <v>143428.23435563332</v>
      </c>
      <c r="M32" s="1057">
        <f t="shared" si="258"/>
        <v>143428.23435563332</v>
      </c>
      <c r="N32" s="1057">
        <f t="shared" si="258"/>
        <v>143428.23435563332</v>
      </c>
      <c r="O32" s="1057">
        <f t="shared" si="258"/>
        <v>143428.23435563332</v>
      </c>
      <c r="P32" s="1057">
        <f t="shared" si="258"/>
        <v>143428.23435563332</v>
      </c>
      <c r="Q32" s="1057">
        <f t="shared" si="258"/>
        <v>143428.23435563332</v>
      </c>
      <c r="R32" s="1057">
        <f>SUM(F32:Q32)</f>
        <v>1721138.8122676003</v>
      </c>
      <c r="S32" s="1057">
        <f t="shared" si="258"/>
        <v>152615.4282655835</v>
      </c>
      <c r="T32" s="1057">
        <f t="shared" si="258"/>
        <v>152615.4282655835</v>
      </c>
      <c r="U32" s="1057">
        <f t="shared" si="258"/>
        <v>152615.4282655835</v>
      </c>
      <c r="V32" s="1057">
        <f t="shared" si="258"/>
        <v>152615.4282655835</v>
      </c>
      <c r="W32" s="1057">
        <f t="shared" si="258"/>
        <v>152615.4282655835</v>
      </c>
      <c r="X32" s="1057">
        <f t="shared" si="258"/>
        <v>152615.4282655835</v>
      </c>
      <c r="Y32" s="1057">
        <f t="shared" si="258"/>
        <v>152615.4282655835</v>
      </c>
      <c r="Z32" s="1057">
        <f t="shared" si="258"/>
        <v>152615.4282655835</v>
      </c>
      <c r="AA32" s="1057">
        <f t="shared" si="258"/>
        <v>152615.4282655835</v>
      </c>
      <c r="AB32" s="1057">
        <f t="shared" si="258"/>
        <v>152615.4282655835</v>
      </c>
      <c r="AC32" s="1057">
        <f t="shared" si="258"/>
        <v>152615.4282655835</v>
      </c>
      <c r="AD32" s="1057">
        <f t="shared" si="258"/>
        <v>152615.4282655835</v>
      </c>
      <c r="AE32" s="1057">
        <f>SUM(S32:AD32)</f>
        <v>1831385.1391870019</v>
      </c>
      <c r="AF32" s="1057">
        <f t="shared" si="258"/>
        <v>158783.34971026491</v>
      </c>
      <c r="AG32" s="1057">
        <f t="shared" si="258"/>
        <v>158783.34971026491</v>
      </c>
      <c r="AH32" s="1057">
        <f t="shared" si="258"/>
        <v>158783.34971026491</v>
      </c>
      <c r="AI32" s="1057">
        <f t="shared" si="258"/>
        <v>158783.34971026491</v>
      </c>
      <c r="AJ32" s="1057">
        <f t="shared" si="258"/>
        <v>158783.34971026491</v>
      </c>
      <c r="AK32" s="1057">
        <f t="shared" si="258"/>
        <v>158783.34971026491</v>
      </c>
      <c r="AL32" s="1057">
        <f t="shared" si="258"/>
        <v>158783.34971026491</v>
      </c>
      <c r="AM32" s="1057">
        <f t="shared" si="258"/>
        <v>158783.34971026491</v>
      </c>
      <c r="AN32" s="1057">
        <f t="shared" si="258"/>
        <v>158783.34971026491</v>
      </c>
      <c r="AO32" s="1057">
        <f t="shared" si="258"/>
        <v>158783.34971026491</v>
      </c>
      <c r="AP32" s="1057">
        <f t="shared" si="258"/>
        <v>158783.34971026491</v>
      </c>
      <c r="AQ32" s="1057">
        <f t="shared" si="258"/>
        <v>158783.34971026491</v>
      </c>
      <c r="AR32" s="1057">
        <f>SUM(AF32:AQ32)</f>
        <v>1905400.1965231791</v>
      </c>
      <c r="AS32" s="1057">
        <f t="shared" si="258"/>
        <v>163546.85020157287</v>
      </c>
      <c r="AT32" s="1057">
        <f t="shared" si="258"/>
        <v>163546.85020157287</v>
      </c>
      <c r="AU32" s="1057">
        <f t="shared" si="258"/>
        <v>163546.85020157287</v>
      </c>
      <c r="AV32" s="1057">
        <f t="shared" si="258"/>
        <v>163546.85020157287</v>
      </c>
      <c r="AW32" s="1057">
        <f t="shared" si="258"/>
        <v>163546.85020157287</v>
      </c>
      <c r="AX32" s="1057">
        <f t="shared" si="258"/>
        <v>163546.85020157287</v>
      </c>
      <c r="AY32" s="1057">
        <f t="shared" si="258"/>
        <v>163546.85020157287</v>
      </c>
      <c r="AZ32" s="1057">
        <f t="shared" si="258"/>
        <v>163546.85020157287</v>
      </c>
      <c r="BA32" s="1057">
        <f t="shared" si="258"/>
        <v>163546.85020157287</v>
      </c>
      <c r="BB32" s="1057">
        <f t="shared" si="258"/>
        <v>163546.85020157287</v>
      </c>
      <c r="BC32" s="1057">
        <f t="shared" si="258"/>
        <v>163546.85020157287</v>
      </c>
      <c r="BD32" s="1057">
        <f t="shared" si="258"/>
        <v>163546.85020157287</v>
      </c>
      <c r="BE32" s="1057">
        <f t="shared" si="26"/>
        <v>1962562.202418874</v>
      </c>
      <c r="BF32" s="1057">
        <f t="shared" si="258"/>
        <v>168453.25570762006</v>
      </c>
      <c r="BG32" s="1057">
        <f t="shared" si="258"/>
        <v>168453.25570762006</v>
      </c>
      <c r="BH32" s="1057">
        <f t="shared" si="258"/>
        <v>168453.25570762006</v>
      </c>
      <c r="BI32" s="1057">
        <f t="shared" si="258"/>
        <v>168453.25570762006</v>
      </c>
      <c r="BJ32" s="1057">
        <f t="shared" si="258"/>
        <v>168453.25570762006</v>
      </c>
      <c r="BK32" s="1057">
        <f t="shared" si="258"/>
        <v>168453.25570762006</v>
      </c>
      <c r="BL32" s="1057">
        <f t="shared" si="258"/>
        <v>168453.25570762006</v>
      </c>
      <c r="BM32" s="1057">
        <f t="shared" si="258"/>
        <v>168453.25570762006</v>
      </c>
      <c r="BN32" s="1057">
        <f t="shared" si="258"/>
        <v>168453.25570762006</v>
      </c>
      <c r="BO32" s="1057">
        <f t="shared" si="258"/>
        <v>168453.25570762006</v>
      </c>
      <c r="BP32" s="1057">
        <f t="shared" si="258"/>
        <v>168453.25570762006</v>
      </c>
      <c r="BQ32" s="1057">
        <f t="shared" si="258"/>
        <v>168453.25570762006</v>
      </c>
      <c r="BR32" s="1057">
        <f t="shared" si="28"/>
        <v>2021439.0684914412</v>
      </c>
      <c r="BS32" s="1057">
        <f t="shared" ref="BS32:ED32" si="259">SUM(BS19:BS31)</f>
        <v>173506.85337884867</v>
      </c>
      <c r="BT32" s="1057">
        <f t="shared" si="259"/>
        <v>173506.85337884867</v>
      </c>
      <c r="BU32" s="1057">
        <f t="shared" si="259"/>
        <v>173506.85337884867</v>
      </c>
      <c r="BV32" s="1057">
        <f t="shared" si="259"/>
        <v>173506.85337884867</v>
      </c>
      <c r="BW32" s="1057">
        <f t="shared" si="259"/>
        <v>173506.85337884867</v>
      </c>
      <c r="BX32" s="1057">
        <f t="shared" si="259"/>
        <v>173506.85337884867</v>
      </c>
      <c r="BY32" s="1057">
        <f t="shared" si="259"/>
        <v>173506.85337884867</v>
      </c>
      <c r="BZ32" s="1057">
        <f t="shared" si="259"/>
        <v>173506.85337884867</v>
      </c>
      <c r="CA32" s="1057">
        <f t="shared" si="259"/>
        <v>173506.85337884867</v>
      </c>
      <c r="CB32" s="1057">
        <f t="shared" si="259"/>
        <v>173506.85337884867</v>
      </c>
      <c r="CC32" s="1057">
        <f t="shared" si="259"/>
        <v>173506.85337884867</v>
      </c>
      <c r="CD32" s="1057">
        <f t="shared" si="259"/>
        <v>173506.85337884867</v>
      </c>
      <c r="CE32" s="1057">
        <f t="shared" si="30"/>
        <v>2082082.2405461839</v>
      </c>
      <c r="CF32" s="1057">
        <f t="shared" si="259"/>
        <v>178712.05898021412</v>
      </c>
      <c r="CG32" s="1057">
        <f t="shared" si="259"/>
        <v>178712.05898021412</v>
      </c>
      <c r="CH32" s="1057">
        <f t="shared" si="259"/>
        <v>178712.05898021412</v>
      </c>
      <c r="CI32" s="1057">
        <f t="shared" si="259"/>
        <v>178712.05898021412</v>
      </c>
      <c r="CJ32" s="1057">
        <f t="shared" si="259"/>
        <v>178712.05898021412</v>
      </c>
      <c r="CK32" s="1057">
        <f t="shared" si="259"/>
        <v>178712.05898021412</v>
      </c>
      <c r="CL32" s="1057">
        <f t="shared" si="259"/>
        <v>178712.05898021412</v>
      </c>
      <c r="CM32" s="1057">
        <f t="shared" si="259"/>
        <v>178712.05898021412</v>
      </c>
      <c r="CN32" s="1057">
        <f t="shared" si="259"/>
        <v>178712.05898021412</v>
      </c>
      <c r="CO32" s="1057">
        <f t="shared" si="259"/>
        <v>178712.05898021412</v>
      </c>
      <c r="CP32" s="1057">
        <f t="shared" si="259"/>
        <v>178712.05898021412</v>
      </c>
      <c r="CQ32" s="1057">
        <f t="shared" si="259"/>
        <v>178712.05898021412</v>
      </c>
      <c r="CR32" s="1057">
        <f t="shared" si="32"/>
        <v>2144544.7077625697</v>
      </c>
      <c r="CS32" s="1057">
        <f t="shared" si="259"/>
        <v>184073.42074962056</v>
      </c>
      <c r="CT32" s="1057">
        <f t="shared" si="259"/>
        <v>184073.42074962056</v>
      </c>
      <c r="CU32" s="1057">
        <f t="shared" si="259"/>
        <v>184073.42074962056</v>
      </c>
      <c r="CV32" s="1057">
        <f t="shared" si="259"/>
        <v>184073.42074962056</v>
      </c>
      <c r="CW32" s="1057">
        <f t="shared" si="259"/>
        <v>184073.42074962056</v>
      </c>
      <c r="CX32" s="1057">
        <f t="shared" si="259"/>
        <v>184073.42074962056</v>
      </c>
      <c r="CY32" s="1057">
        <f t="shared" si="259"/>
        <v>184073.42074962056</v>
      </c>
      <c r="CZ32" s="1057">
        <f t="shared" si="259"/>
        <v>184073.42074962056</v>
      </c>
      <c r="DA32" s="1057">
        <f t="shared" si="259"/>
        <v>184073.42074962056</v>
      </c>
      <c r="DB32" s="1057">
        <f t="shared" si="259"/>
        <v>184073.42074962056</v>
      </c>
      <c r="DC32" s="1057">
        <f t="shared" si="259"/>
        <v>184073.42074962056</v>
      </c>
      <c r="DD32" s="1057">
        <f t="shared" si="259"/>
        <v>184073.42074962056</v>
      </c>
      <c r="DE32" s="1057">
        <f t="shared" si="34"/>
        <v>2208881.0489954469</v>
      </c>
      <c r="DF32" s="1057">
        <f t="shared" si="259"/>
        <v>189595.6233721092</v>
      </c>
      <c r="DG32" s="1057">
        <f t="shared" si="259"/>
        <v>189595.6233721092</v>
      </c>
      <c r="DH32" s="1057">
        <f t="shared" si="259"/>
        <v>189595.6233721092</v>
      </c>
      <c r="DI32" s="1057">
        <f t="shared" si="259"/>
        <v>189595.6233721092</v>
      </c>
      <c r="DJ32" s="1057">
        <f t="shared" si="259"/>
        <v>189595.6233721092</v>
      </c>
      <c r="DK32" s="1057">
        <f t="shared" si="259"/>
        <v>189595.6233721092</v>
      </c>
      <c r="DL32" s="1057">
        <f t="shared" si="259"/>
        <v>189595.6233721092</v>
      </c>
      <c r="DM32" s="1057">
        <f t="shared" si="259"/>
        <v>189595.6233721092</v>
      </c>
      <c r="DN32" s="1057">
        <f t="shared" si="259"/>
        <v>189595.6233721092</v>
      </c>
      <c r="DO32" s="1057">
        <f t="shared" si="259"/>
        <v>189595.6233721092</v>
      </c>
      <c r="DP32" s="1057">
        <f t="shared" si="259"/>
        <v>189595.6233721092</v>
      </c>
      <c r="DQ32" s="1057">
        <f t="shared" si="259"/>
        <v>189595.6233721092</v>
      </c>
      <c r="DR32" s="1057">
        <f t="shared" si="36"/>
        <v>2275147.4804653102</v>
      </c>
      <c r="DS32" s="1057">
        <f t="shared" si="259"/>
        <v>195283.49207327247</v>
      </c>
      <c r="DT32" s="1057">
        <f t="shared" si="259"/>
        <v>195283.49207327247</v>
      </c>
      <c r="DU32" s="1057">
        <f t="shared" si="259"/>
        <v>195283.49207327247</v>
      </c>
      <c r="DV32" s="1057">
        <f t="shared" si="259"/>
        <v>195283.49207327247</v>
      </c>
      <c r="DW32" s="1057">
        <f t="shared" si="259"/>
        <v>195283.49207327247</v>
      </c>
      <c r="DX32" s="1057">
        <f t="shared" si="259"/>
        <v>195283.49207327247</v>
      </c>
      <c r="DY32" s="1057">
        <f t="shared" si="259"/>
        <v>195283.49207327247</v>
      </c>
      <c r="DZ32" s="1057">
        <f t="shared" si="259"/>
        <v>195283.49207327247</v>
      </c>
      <c r="EA32" s="1057">
        <f t="shared" si="259"/>
        <v>195283.49207327247</v>
      </c>
      <c r="EB32" s="1057">
        <f t="shared" si="259"/>
        <v>195283.49207327247</v>
      </c>
      <c r="EC32" s="1057">
        <f t="shared" si="259"/>
        <v>195283.49207327247</v>
      </c>
      <c r="ED32" s="1057">
        <f t="shared" si="259"/>
        <v>195283.49207327247</v>
      </c>
      <c r="EE32" s="754">
        <f t="shared" si="38"/>
        <v>2343401.9048792692</v>
      </c>
      <c r="EF32" s="11"/>
      <c r="EG32" s="11"/>
      <c r="EH32" s="11"/>
      <c r="EI32" s="11"/>
    </row>
    <row r="33" spans="2:139">
      <c r="B33" s="729"/>
      <c r="C33" s="13"/>
      <c r="D33" s="1099" t="s">
        <v>304</v>
      </c>
      <c r="E33" s="755"/>
      <c r="F33" s="11"/>
      <c r="G33" s="11"/>
      <c r="H33" s="11"/>
      <c r="I33" s="11"/>
      <c r="J33" s="11"/>
      <c r="K33" s="11"/>
      <c r="L33" s="6"/>
      <c r="R33" s="331"/>
      <c r="S33" s="331"/>
      <c r="T33" s="331"/>
      <c r="U33" s="331"/>
      <c r="V33" s="331"/>
      <c r="W33" s="331"/>
      <c r="X33" s="331"/>
      <c r="Y33" s="331"/>
      <c r="Z33" s="331"/>
      <c r="AA33" s="331"/>
      <c r="AB33" s="331"/>
      <c r="AC33" s="331"/>
      <c r="AD33" s="331"/>
      <c r="AE33" s="331">
        <f>(AE32-R32)/R32</f>
        <v>6.4054291341063885E-2</v>
      </c>
      <c r="AF33" s="331"/>
      <c r="AG33" s="331"/>
      <c r="AH33" s="331"/>
      <c r="AI33" s="331"/>
      <c r="AJ33" s="331"/>
      <c r="AK33" s="331"/>
      <c r="AL33" s="331"/>
      <c r="AM33" s="331"/>
      <c r="AN33" s="331"/>
      <c r="AO33" s="331"/>
      <c r="AP33" s="331"/>
      <c r="AQ33" s="331"/>
      <c r="AR33" s="331">
        <f>(AR32-AE32)/AE32</f>
        <v>4.0414796294041329E-2</v>
      </c>
      <c r="AS33" s="331">
        <f t="shared" ref="AS33" si="260">(AS32-AF32)/AF32</f>
        <v>3.0000000000000086E-2</v>
      </c>
      <c r="AT33" s="331">
        <f t="shared" ref="AT33" si="261">(AT32-AG32)/AG32</f>
        <v>3.0000000000000086E-2</v>
      </c>
      <c r="AU33" s="331">
        <f t="shared" ref="AU33" si="262">(AU32-AH32)/AH32</f>
        <v>3.0000000000000086E-2</v>
      </c>
      <c r="AV33" s="331">
        <f t="shared" ref="AV33" si="263">(AV32-AI32)/AI32</f>
        <v>3.0000000000000086E-2</v>
      </c>
      <c r="AW33" s="331">
        <f t="shared" ref="AW33" si="264">(AW32-AJ32)/AJ32</f>
        <v>3.0000000000000086E-2</v>
      </c>
      <c r="AX33" s="331">
        <f t="shared" ref="AX33" si="265">(AX32-AK32)/AK32</f>
        <v>3.0000000000000086E-2</v>
      </c>
      <c r="AY33" s="331">
        <f>(AY32-AL32)/AL32</f>
        <v>3.0000000000000086E-2</v>
      </c>
      <c r="AZ33" s="331">
        <f t="shared" ref="AZ33" si="266">(AZ32-AM32)/AM32</f>
        <v>3.0000000000000086E-2</v>
      </c>
      <c r="BA33" s="331">
        <f t="shared" ref="BA33" si="267">(BA32-AN32)/AN32</f>
        <v>3.0000000000000086E-2</v>
      </c>
      <c r="BB33" s="331">
        <f t="shared" ref="BB33" si="268">(BB32-AO32)/AO32</f>
        <v>3.0000000000000086E-2</v>
      </c>
      <c r="BC33" s="331">
        <f t="shared" ref="BC33" si="269">(BC32-AP32)/AP32</f>
        <v>3.0000000000000086E-2</v>
      </c>
      <c r="BD33" s="331">
        <f t="shared" ref="BD33" si="270">(BD32-AQ32)/AQ32</f>
        <v>3.0000000000000086E-2</v>
      </c>
      <c r="BE33" s="331">
        <f>(BE32-AR32)/AR32</f>
        <v>2.999999999999978E-2</v>
      </c>
      <c r="BF33" s="331">
        <f t="shared" ref="BF33" si="271">(BF32-AS32)/AS32</f>
        <v>3.0000000000000006E-2</v>
      </c>
      <c r="BG33" s="331">
        <f t="shared" ref="BG33" si="272">(BG32-AT32)/AT32</f>
        <v>3.0000000000000006E-2</v>
      </c>
      <c r="BH33" s="331">
        <f t="shared" ref="BH33" si="273">(BH32-AU32)/AU32</f>
        <v>3.0000000000000006E-2</v>
      </c>
      <c r="BI33" s="331">
        <f t="shared" ref="BI33" si="274">(BI32-AV32)/AV32</f>
        <v>3.0000000000000006E-2</v>
      </c>
      <c r="BJ33" s="331">
        <f t="shared" ref="BJ33" si="275">(BJ32-AW32)/AW32</f>
        <v>3.0000000000000006E-2</v>
      </c>
      <c r="BK33" s="331">
        <f t="shared" ref="BK33" si="276">(BK32-AX32)/AX32</f>
        <v>3.0000000000000006E-2</v>
      </c>
      <c r="BL33" s="331">
        <f t="shared" ref="BL33" si="277">(BL32-AY32)/AY32</f>
        <v>3.0000000000000006E-2</v>
      </c>
      <c r="BM33" s="331">
        <f t="shared" ref="BM33" si="278">(BM32-AZ32)/AZ32</f>
        <v>3.0000000000000006E-2</v>
      </c>
      <c r="BN33" s="331">
        <f t="shared" ref="BN33" si="279">(BN32-BA32)/BA32</f>
        <v>3.0000000000000006E-2</v>
      </c>
      <c r="BO33" s="331">
        <f t="shared" ref="BO33" si="280">(BO32-BB32)/BB32</f>
        <v>3.0000000000000006E-2</v>
      </c>
      <c r="BP33" s="331">
        <f t="shared" ref="BP33" si="281">(BP32-BC32)/BC32</f>
        <v>3.0000000000000006E-2</v>
      </c>
      <c r="BQ33" s="331">
        <f t="shared" ref="BQ33" si="282">(BQ32-BD32)/BD32</f>
        <v>3.0000000000000006E-2</v>
      </c>
      <c r="BR33" s="331">
        <f t="shared" ref="BR33" si="283">(BR32-BE32)/BE32</f>
        <v>3.0000000000000488E-2</v>
      </c>
      <c r="BS33" s="331">
        <f t="shared" ref="BS33" si="284">(BS32-BF32)/BF32</f>
        <v>3.0000000000000027E-2</v>
      </c>
      <c r="BT33" s="331">
        <f t="shared" ref="BT33" si="285">(BT32-BG32)/BG32</f>
        <v>3.0000000000000027E-2</v>
      </c>
      <c r="BU33" s="331">
        <f t="shared" ref="BU33" si="286">(BU32-BH32)/BH32</f>
        <v>3.0000000000000027E-2</v>
      </c>
      <c r="BV33" s="331">
        <f t="shared" ref="BV33" si="287">(BV32-BI32)/BI32</f>
        <v>3.0000000000000027E-2</v>
      </c>
      <c r="BW33" s="331">
        <f t="shared" ref="BW33" si="288">(BW32-BJ32)/BJ32</f>
        <v>3.0000000000000027E-2</v>
      </c>
      <c r="BX33" s="331">
        <f t="shared" ref="BX33" si="289">(BX32-BK32)/BK32</f>
        <v>3.0000000000000027E-2</v>
      </c>
      <c r="BY33" s="331">
        <f t="shared" ref="BY33" si="290">(BY32-BL32)/BL32</f>
        <v>3.0000000000000027E-2</v>
      </c>
      <c r="BZ33" s="331">
        <f t="shared" ref="BZ33" si="291">(BZ32-BM32)/BM32</f>
        <v>3.0000000000000027E-2</v>
      </c>
      <c r="CA33" s="331">
        <f t="shared" ref="CA33" si="292">(CA32-BN32)/BN32</f>
        <v>3.0000000000000027E-2</v>
      </c>
      <c r="CB33" s="331">
        <f t="shared" ref="CB33" si="293">(CB32-BO32)/BO32</f>
        <v>3.0000000000000027E-2</v>
      </c>
      <c r="CC33" s="331">
        <f t="shared" ref="CC33" si="294">(CC32-BP32)/BP32</f>
        <v>3.0000000000000027E-2</v>
      </c>
      <c r="CD33" s="331">
        <f t="shared" ref="CD33" si="295">(CD32-BQ32)/BQ32</f>
        <v>3.0000000000000027E-2</v>
      </c>
      <c r="CE33" s="331">
        <f t="shared" ref="CE33" si="296">(CE32-BR32)/BR32</f>
        <v>2.9999999999999732E-2</v>
      </c>
      <c r="CF33" s="331">
        <f t="shared" ref="CF33" si="297">(CF32-BS32)/BS32</f>
        <v>2.9999999999999947E-2</v>
      </c>
      <c r="CG33" s="331">
        <f t="shared" ref="CG33" si="298">(CG32-BT32)/BT32</f>
        <v>2.9999999999999947E-2</v>
      </c>
      <c r="CH33" s="331">
        <f t="shared" ref="CH33" si="299">(CH32-BU32)/BU32</f>
        <v>2.9999999999999947E-2</v>
      </c>
      <c r="CI33" s="331">
        <f t="shared" ref="CI33" si="300">(CI32-BV32)/BV32</f>
        <v>2.9999999999999947E-2</v>
      </c>
      <c r="CJ33" s="331">
        <f t="shared" ref="CJ33" si="301">(CJ32-BW32)/BW32</f>
        <v>2.9999999999999947E-2</v>
      </c>
      <c r="CK33" s="331">
        <f t="shared" ref="CK33" si="302">(CK32-BX32)/BX32</f>
        <v>2.9999999999999947E-2</v>
      </c>
      <c r="CL33" s="331">
        <f t="shared" ref="CL33" si="303">(CL32-BY32)/BY32</f>
        <v>2.9999999999999947E-2</v>
      </c>
      <c r="CM33" s="331">
        <f t="shared" ref="CM33" si="304">(CM32-BZ32)/BZ32</f>
        <v>2.9999999999999947E-2</v>
      </c>
      <c r="CN33" s="331">
        <f t="shared" ref="CN33" si="305">(CN32-CA32)/CA32</f>
        <v>2.9999999999999947E-2</v>
      </c>
      <c r="CO33" s="331">
        <f t="shared" ref="CO33" si="306">(CO32-CB32)/CB32</f>
        <v>2.9999999999999947E-2</v>
      </c>
      <c r="CP33" s="331">
        <f t="shared" ref="CP33" si="307">(CP32-CC32)/CC32</f>
        <v>2.9999999999999947E-2</v>
      </c>
      <c r="CQ33" s="331">
        <f t="shared" ref="CQ33" si="308">(CQ32-CD32)/CD32</f>
        <v>2.9999999999999947E-2</v>
      </c>
      <c r="CR33" s="331">
        <f t="shared" ref="CR33" si="309">(CR32-CE32)/CE32</f>
        <v>3.0000000000000117E-2</v>
      </c>
      <c r="CS33" s="331">
        <f t="shared" ref="CS33" si="310">(CS32-CF32)/CF32</f>
        <v>3.000000000000012E-2</v>
      </c>
      <c r="CT33" s="331">
        <f t="shared" ref="CT33" si="311">(CT32-CG32)/CG32</f>
        <v>3.000000000000012E-2</v>
      </c>
      <c r="CU33" s="331">
        <f t="shared" ref="CU33" si="312">(CU32-CH32)/CH32</f>
        <v>3.000000000000012E-2</v>
      </c>
      <c r="CV33" s="331">
        <f t="shared" ref="CV33" si="313">(CV32-CI32)/CI32</f>
        <v>3.000000000000012E-2</v>
      </c>
      <c r="CW33" s="331">
        <f t="shared" ref="CW33" si="314">(CW32-CJ32)/CJ32</f>
        <v>3.000000000000012E-2</v>
      </c>
      <c r="CX33" s="331">
        <f t="shared" ref="CX33" si="315">(CX32-CK32)/CK32</f>
        <v>3.000000000000012E-2</v>
      </c>
      <c r="CY33" s="331">
        <f t="shared" ref="CY33" si="316">(CY32-CL32)/CL32</f>
        <v>3.000000000000012E-2</v>
      </c>
      <c r="CZ33" s="331">
        <f t="shared" ref="CZ33" si="317">(CZ32-CM32)/CM32</f>
        <v>3.000000000000012E-2</v>
      </c>
      <c r="DA33" s="331">
        <f t="shared" ref="DA33" si="318">(DA32-CN32)/CN32</f>
        <v>3.000000000000012E-2</v>
      </c>
      <c r="DB33" s="331">
        <f t="shared" ref="DB33" si="319">(DB32-CO32)/CO32</f>
        <v>3.000000000000012E-2</v>
      </c>
      <c r="DC33" s="331">
        <f t="shared" ref="DC33" si="320">(DC32-CP32)/CP32</f>
        <v>3.000000000000012E-2</v>
      </c>
      <c r="DD33" s="331">
        <f t="shared" ref="DD33" si="321">(DD32-CQ32)/CQ32</f>
        <v>3.000000000000012E-2</v>
      </c>
      <c r="DE33" s="331">
        <f t="shared" ref="DE33" si="322">(DE32-CR32)/CR32</f>
        <v>3.0000000000000061E-2</v>
      </c>
      <c r="DF33" s="331">
        <f t="shared" ref="DF33" si="323">(DF32-CS32)/CS32</f>
        <v>3.0000000000000103E-2</v>
      </c>
      <c r="DG33" s="331">
        <f t="shared" ref="DG33" si="324">(DG32-CT32)/CT32</f>
        <v>3.0000000000000103E-2</v>
      </c>
      <c r="DH33" s="331">
        <f t="shared" ref="DH33" si="325">(DH32-CU32)/CU32</f>
        <v>3.0000000000000103E-2</v>
      </c>
      <c r="DI33" s="331">
        <f t="shared" ref="DI33" si="326">(DI32-CV32)/CV32</f>
        <v>3.0000000000000103E-2</v>
      </c>
      <c r="DJ33" s="331">
        <f t="shared" ref="DJ33" si="327">(DJ32-CW32)/CW32</f>
        <v>3.0000000000000103E-2</v>
      </c>
      <c r="DK33" s="331">
        <f t="shared" ref="DK33" si="328">(DK32-CX32)/CX32</f>
        <v>3.0000000000000103E-2</v>
      </c>
      <c r="DL33" s="331">
        <f t="shared" ref="DL33" si="329">(DL32-CY32)/CY32</f>
        <v>3.0000000000000103E-2</v>
      </c>
      <c r="DM33" s="331">
        <f t="shared" ref="DM33" si="330">(DM32-CZ32)/CZ32</f>
        <v>3.0000000000000103E-2</v>
      </c>
      <c r="DN33" s="331">
        <f t="shared" ref="DN33" si="331">(DN32-DA32)/DA32</f>
        <v>3.0000000000000103E-2</v>
      </c>
      <c r="DO33" s="331">
        <f t="shared" ref="DO33" si="332">(DO32-DB32)/DB32</f>
        <v>3.0000000000000103E-2</v>
      </c>
      <c r="DP33" s="331">
        <f t="shared" ref="DP33" si="333">(DP32-DC32)/DC32</f>
        <v>3.0000000000000103E-2</v>
      </c>
      <c r="DQ33" s="331">
        <f t="shared" ref="DQ33" si="334">(DQ32-DD32)/DD32</f>
        <v>3.0000000000000103E-2</v>
      </c>
      <c r="DR33" s="331">
        <f t="shared" ref="DR33" si="335">(DR32-DE32)/DE32</f>
        <v>2.9999999999999943E-2</v>
      </c>
      <c r="DS33" s="331">
        <f t="shared" ref="DS33" si="336">(DS32-DF32)/DF32</f>
        <v>2.9999999999999978E-2</v>
      </c>
      <c r="DT33" s="331">
        <f t="shared" ref="DT33" si="337">(DT32-DG32)/DG32</f>
        <v>2.9999999999999978E-2</v>
      </c>
      <c r="DU33" s="331">
        <f t="shared" ref="DU33" si="338">(DU32-DH32)/DH32</f>
        <v>2.9999999999999978E-2</v>
      </c>
      <c r="DV33" s="331">
        <f t="shared" ref="DV33" si="339">(DV32-DI32)/DI32</f>
        <v>2.9999999999999978E-2</v>
      </c>
      <c r="DW33" s="331">
        <f t="shared" ref="DW33" si="340">(DW32-DJ32)/DJ32</f>
        <v>2.9999999999999978E-2</v>
      </c>
      <c r="DX33" s="331">
        <f t="shared" ref="DX33" si="341">(DX32-DK32)/DK32</f>
        <v>2.9999999999999978E-2</v>
      </c>
      <c r="DY33" s="331">
        <f t="shared" ref="DY33" si="342">(DY32-DL32)/DL32</f>
        <v>2.9999999999999978E-2</v>
      </c>
      <c r="DZ33" s="331">
        <f t="shared" ref="DZ33" si="343">(DZ32-DM32)/DM32</f>
        <v>2.9999999999999978E-2</v>
      </c>
      <c r="EA33" s="331">
        <f t="shared" ref="EA33" si="344">(EA32-DN32)/DN32</f>
        <v>2.9999999999999978E-2</v>
      </c>
      <c r="EB33" s="331">
        <f t="shared" ref="EB33" si="345">(EB32-DO32)/DO32</f>
        <v>2.9999999999999978E-2</v>
      </c>
      <c r="EC33" s="331">
        <f t="shared" ref="EC33" si="346">(EC32-DP32)/DP32</f>
        <v>2.9999999999999978E-2</v>
      </c>
      <c r="ED33" s="331">
        <f t="shared" ref="ED33" si="347">(ED32-DQ32)/DQ32</f>
        <v>2.9999999999999978E-2</v>
      </c>
      <c r="EE33" s="756">
        <f>(EE32-DR32)/DR32</f>
        <v>2.9999999999999881E-2</v>
      </c>
      <c r="EF33" s="11"/>
    </row>
    <row r="34" spans="2:139">
      <c r="B34" s="161"/>
      <c r="D34" s="1099" t="s">
        <v>115</v>
      </c>
      <c r="E34" s="155" t="e">
        <f>E32/E16</f>
        <v>#REF!</v>
      </c>
      <c r="F34" s="155">
        <f>F32/F16</f>
        <v>0.44215199480568695</v>
      </c>
      <c r="G34" s="155">
        <f t="shared" ref="G34:AM34" si="348">G32/G16</f>
        <v>0.44215199480568695</v>
      </c>
      <c r="H34" s="155">
        <f t="shared" si="348"/>
        <v>0.44215199480568695</v>
      </c>
      <c r="I34" s="155">
        <f t="shared" si="348"/>
        <v>0.44215199480568695</v>
      </c>
      <c r="J34" s="155">
        <f t="shared" si="348"/>
        <v>0.44215199480568695</v>
      </c>
      <c r="K34" s="155">
        <f t="shared" si="348"/>
        <v>0.44215199480568695</v>
      </c>
      <c r="L34" s="155">
        <f t="shared" si="348"/>
        <v>0.44215199480568695</v>
      </c>
      <c r="M34" s="155">
        <f t="shared" si="348"/>
        <v>0.44215199480568695</v>
      </c>
      <c r="N34" s="155">
        <f t="shared" si="348"/>
        <v>0.44215199480568695</v>
      </c>
      <c r="O34" s="155">
        <f t="shared" si="348"/>
        <v>0.44215199480568695</v>
      </c>
      <c r="P34" s="155">
        <f t="shared" si="348"/>
        <v>0.44215199480568695</v>
      </c>
      <c r="Q34" s="155">
        <f t="shared" si="348"/>
        <v>0.44215199480568695</v>
      </c>
      <c r="R34" s="155">
        <f t="shared" si="348"/>
        <v>0.44215199480568707</v>
      </c>
      <c r="S34" s="155">
        <f t="shared" si="348"/>
        <v>0.39583092818515869</v>
      </c>
      <c r="T34" s="155">
        <f>T32/T16</f>
        <v>0.39583092818515869</v>
      </c>
      <c r="U34" s="155">
        <f t="shared" si="348"/>
        <v>0.39583092818515869</v>
      </c>
      <c r="V34" s="155">
        <f t="shared" si="348"/>
        <v>0.39583092818515869</v>
      </c>
      <c r="W34" s="155">
        <f t="shared" si="348"/>
        <v>0.39583092818515869</v>
      </c>
      <c r="X34" s="155">
        <f t="shared" si="348"/>
        <v>0.39583092818515869</v>
      </c>
      <c r="Y34" s="155">
        <f t="shared" si="348"/>
        <v>0.39583092818515869</v>
      </c>
      <c r="Z34" s="155">
        <f t="shared" si="348"/>
        <v>0.39583092818515869</v>
      </c>
      <c r="AA34" s="155">
        <f t="shared" si="348"/>
        <v>0.39583092818515869</v>
      </c>
      <c r="AB34" s="155">
        <f t="shared" si="348"/>
        <v>0.39583092818515869</v>
      </c>
      <c r="AC34" s="155">
        <f t="shared" si="348"/>
        <v>0.39583092818515869</v>
      </c>
      <c r="AD34" s="155">
        <f t="shared" si="348"/>
        <v>0.39583092818515869</v>
      </c>
      <c r="AE34" s="155">
        <f>AE32/AE16</f>
        <v>0.39583092818515869</v>
      </c>
      <c r="AF34" s="155">
        <f t="shared" si="348"/>
        <v>0.35276896767112187</v>
      </c>
      <c r="AG34" s="155">
        <f t="shared" si="348"/>
        <v>0.35276896767112187</v>
      </c>
      <c r="AH34" s="155">
        <f t="shared" si="348"/>
        <v>0.35276896767112187</v>
      </c>
      <c r="AI34" s="155">
        <f t="shared" si="348"/>
        <v>0.35276896767112187</v>
      </c>
      <c r="AJ34" s="155">
        <f t="shared" si="348"/>
        <v>0.35276896767112187</v>
      </c>
      <c r="AK34" s="155">
        <f t="shared" si="348"/>
        <v>0.35276896767112187</v>
      </c>
      <c r="AL34" s="155">
        <f t="shared" si="348"/>
        <v>0.35276896767112187</v>
      </c>
      <c r="AM34" s="155">
        <f t="shared" si="348"/>
        <v>0.35276896767112187</v>
      </c>
      <c r="AN34" s="155">
        <f t="shared" ref="AN34:BQ34" si="349">AN32/AN16</f>
        <v>0.35276896767112187</v>
      </c>
      <c r="AO34" s="155">
        <f t="shared" si="349"/>
        <v>0.35276896767112187</v>
      </c>
      <c r="AP34" s="155">
        <f t="shared" si="349"/>
        <v>0.35276896767112187</v>
      </c>
      <c r="AQ34" s="155">
        <f t="shared" si="349"/>
        <v>0.35276896767112187</v>
      </c>
      <c r="AR34" s="155">
        <f t="shared" si="349"/>
        <v>0.35276896767112181</v>
      </c>
      <c r="AS34" s="155">
        <f t="shared" si="349"/>
        <v>0.35276896767112187</v>
      </c>
      <c r="AT34" s="155">
        <f t="shared" si="349"/>
        <v>0.35276896767112187</v>
      </c>
      <c r="AU34" s="155">
        <f t="shared" si="349"/>
        <v>0.35276896767112187</v>
      </c>
      <c r="AV34" s="155">
        <f t="shared" si="349"/>
        <v>0.35276896767112187</v>
      </c>
      <c r="AW34" s="155">
        <f t="shared" si="349"/>
        <v>0.35276896767112187</v>
      </c>
      <c r="AX34" s="155">
        <f t="shared" si="349"/>
        <v>0.35276896767112187</v>
      </c>
      <c r="AY34" s="155">
        <f t="shared" si="349"/>
        <v>0.35276896767112187</v>
      </c>
      <c r="AZ34" s="155">
        <f t="shared" si="349"/>
        <v>0.35276896767112187</v>
      </c>
      <c r="BA34" s="155">
        <f t="shared" si="349"/>
        <v>0.35276896767112187</v>
      </c>
      <c r="BB34" s="155">
        <f t="shared" si="349"/>
        <v>0.35276896767112187</v>
      </c>
      <c r="BC34" s="155">
        <f t="shared" si="349"/>
        <v>0.35276896767112187</v>
      </c>
      <c r="BD34" s="155">
        <f t="shared" si="349"/>
        <v>0.35276896767112187</v>
      </c>
      <c r="BE34" s="155">
        <f>BE32/BE16</f>
        <v>0.35276896767112165</v>
      </c>
      <c r="BF34" s="155">
        <f t="shared" si="349"/>
        <v>0.35276896767112187</v>
      </c>
      <c r="BG34" s="155">
        <f t="shared" si="349"/>
        <v>0.35276896767112187</v>
      </c>
      <c r="BH34" s="155">
        <f t="shared" si="349"/>
        <v>0.35276896767112187</v>
      </c>
      <c r="BI34" s="155">
        <f t="shared" si="349"/>
        <v>0.35276896767112187</v>
      </c>
      <c r="BJ34" s="155">
        <f t="shared" si="349"/>
        <v>0.35276896767112187</v>
      </c>
      <c r="BK34" s="155">
        <f t="shared" si="349"/>
        <v>0.35276896767112187</v>
      </c>
      <c r="BL34" s="155">
        <f t="shared" si="349"/>
        <v>0.35276896767112187</v>
      </c>
      <c r="BM34" s="155">
        <f t="shared" si="349"/>
        <v>0.35276896767112187</v>
      </c>
      <c r="BN34" s="155">
        <f t="shared" si="349"/>
        <v>0.35276896767112187</v>
      </c>
      <c r="BO34" s="155">
        <f t="shared" si="349"/>
        <v>0.35276896767112187</v>
      </c>
      <c r="BP34" s="155">
        <f t="shared" si="349"/>
        <v>0.35276896767112187</v>
      </c>
      <c r="BQ34" s="155">
        <f t="shared" si="349"/>
        <v>0.35276896767112187</v>
      </c>
      <c r="BR34" s="155">
        <f>BR32/BR16</f>
        <v>0.35276896767112187</v>
      </c>
      <c r="BS34" s="155">
        <f t="shared" ref="BS34:ED34" si="350">BS32/BS16</f>
        <v>0.35276896767112187</v>
      </c>
      <c r="BT34" s="155">
        <f t="shared" si="350"/>
        <v>0.35276896767112187</v>
      </c>
      <c r="BU34" s="155">
        <f t="shared" si="350"/>
        <v>0.35276896767112187</v>
      </c>
      <c r="BV34" s="155">
        <f t="shared" si="350"/>
        <v>0.35276896767112187</v>
      </c>
      <c r="BW34" s="155">
        <f t="shared" si="350"/>
        <v>0.35276896767112187</v>
      </c>
      <c r="BX34" s="155">
        <f t="shared" si="350"/>
        <v>0.35276896767112187</v>
      </c>
      <c r="BY34" s="155">
        <f t="shared" si="350"/>
        <v>0.35276896767112187</v>
      </c>
      <c r="BZ34" s="155">
        <f t="shared" si="350"/>
        <v>0.35276896767112187</v>
      </c>
      <c r="CA34" s="155">
        <f t="shared" si="350"/>
        <v>0.35276896767112187</v>
      </c>
      <c r="CB34" s="155">
        <f t="shared" si="350"/>
        <v>0.35276896767112187</v>
      </c>
      <c r="CC34" s="155">
        <f t="shared" si="350"/>
        <v>0.35276896767112187</v>
      </c>
      <c r="CD34" s="155">
        <f t="shared" si="350"/>
        <v>0.35276896767112187</v>
      </c>
      <c r="CE34" s="155">
        <f t="shared" si="350"/>
        <v>0.35276896767112187</v>
      </c>
      <c r="CF34" s="155">
        <f t="shared" si="350"/>
        <v>0.35276896767112187</v>
      </c>
      <c r="CG34" s="155">
        <f t="shared" si="350"/>
        <v>0.35276896767112187</v>
      </c>
      <c r="CH34" s="155">
        <f t="shared" si="350"/>
        <v>0.35276896767112187</v>
      </c>
      <c r="CI34" s="155">
        <f t="shared" si="350"/>
        <v>0.35276896767112187</v>
      </c>
      <c r="CJ34" s="155">
        <f t="shared" si="350"/>
        <v>0.35276896767112187</v>
      </c>
      <c r="CK34" s="155">
        <f t="shared" si="350"/>
        <v>0.35276896767112187</v>
      </c>
      <c r="CL34" s="155">
        <f t="shared" si="350"/>
        <v>0.35276896767112187</v>
      </c>
      <c r="CM34" s="155">
        <f t="shared" si="350"/>
        <v>0.35276896767112187</v>
      </c>
      <c r="CN34" s="155">
        <f t="shared" si="350"/>
        <v>0.35276896767112187</v>
      </c>
      <c r="CO34" s="155">
        <f t="shared" si="350"/>
        <v>0.35276896767112187</v>
      </c>
      <c r="CP34" s="155">
        <f t="shared" si="350"/>
        <v>0.35276896767112187</v>
      </c>
      <c r="CQ34" s="155">
        <f t="shared" si="350"/>
        <v>0.35276896767112187</v>
      </c>
      <c r="CR34" s="155">
        <f>CR32/CR16</f>
        <v>0.35276896767112181</v>
      </c>
      <c r="CS34" s="155">
        <f t="shared" si="350"/>
        <v>0.35276896767112187</v>
      </c>
      <c r="CT34" s="155">
        <f t="shared" si="350"/>
        <v>0.35276896767112187</v>
      </c>
      <c r="CU34" s="155">
        <f t="shared" si="350"/>
        <v>0.35276896767112187</v>
      </c>
      <c r="CV34" s="155">
        <f t="shared" si="350"/>
        <v>0.35276896767112187</v>
      </c>
      <c r="CW34" s="155">
        <f t="shared" si="350"/>
        <v>0.35276896767112187</v>
      </c>
      <c r="CX34" s="155">
        <f t="shared" si="350"/>
        <v>0.35276896767112187</v>
      </c>
      <c r="CY34" s="155">
        <f t="shared" si="350"/>
        <v>0.35276896767112187</v>
      </c>
      <c r="CZ34" s="155">
        <f t="shared" si="350"/>
        <v>0.35276896767112187</v>
      </c>
      <c r="DA34" s="155">
        <f t="shared" si="350"/>
        <v>0.35276896767112187</v>
      </c>
      <c r="DB34" s="155">
        <f t="shared" si="350"/>
        <v>0.35276896767112187</v>
      </c>
      <c r="DC34" s="155">
        <f t="shared" si="350"/>
        <v>0.35276896767112187</v>
      </c>
      <c r="DD34" s="155">
        <f t="shared" si="350"/>
        <v>0.35276896767112187</v>
      </c>
      <c r="DE34" s="155">
        <f t="shared" si="350"/>
        <v>0.35276896767112198</v>
      </c>
      <c r="DF34" s="155">
        <f t="shared" si="350"/>
        <v>0.35276896767112204</v>
      </c>
      <c r="DG34" s="155">
        <f t="shared" si="350"/>
        <v>0.35276896767112204</v>
      </c>
      <c r="DH34" s="155">
        <f t="shared" si="350"/>
        <v>0.35276896767112204</v>
      </c>
      <c r="DI34" s="155">
        <f t="shared" si="350"/>
        <v>0.35276896767112204</v>
      </c>
      <c r="DJ34" s="155">
        <f t="shared" si="350"/>
        <v>0.35276896767112204</v>
      </c>
      <c r="DK34" s="155">
        <f t="shared" si="350"/>
        <v>0.35276896767112204</v>
      </c>
      <c r="DL34" s="155">
        <f t="shared" si="350"/>
        <v>0.35276896767112204</v>
      </c>
      <c r="DM34" s="155">
        <f t="shared" si="350"/>
        <v>0.35276896767112204</v>
      </c>
      <c r="DN34" s="155">
        <f t="shared" si="350"/>
        <v>0.35276896767112204</v>
      </c>
      <c r="DO34" s="155">
        <f t="shared" si="350"/>
        <v>0.35276896767112204</v>
      </c>
      <c r="DP34" s="155">
        <f t="shared" si="350"/>
        <v>0.35276896767112204</v>
      </c>
      <c r="DQ34" s="155">
        <f t="shared" si="350"/>
        <v>0.35276896767112204</v>
      </c>
      <c r="DR34" s="155">
        <f t="shared" si="350"/>
        <v>0.35276896767112198</v>
      </c>
      <c r="DS34" s="155">
        <f t="shared" si="350"/>
        <v>0.35276896767112187</v>
      </c>
      <c r="DT34" s="155">
        <f>DT32/DT16</f>
        <v>0.35276896767112187</v>
      </c>
      <c r="DU34" s="155">
        <f t="shared" si="350"/>
        <v>0.35276896767112187</v>
      </c>
      <c r="DV34" s="155">
        <f t="shared" si="350"/>
        <v>0.35276896767112187</v>
      </c>
      <c r="DW34" s="155">
        <f t="shared" si="350"/>
        <v>0.35276896767112187</v>
      </c>
      <c r="DX34" s="155">
        <f t="shared" si="350"/>
        <v>0.35276896767112187</v>
      </c>
      <c r="DY34" s="155">
        <f t="shared" si="350"/>
        <v>0.35276896767112187</v>
      </c>
      <c r="DZ34" s="155">
        <f t="shared" si="350"/>
        <v>0.35276896767112187</v>
      </c>
      <c r="EA34" s="155">
        <f t="shared" si="350"/>
        <v>0.35276896767112187</v>
      </c>
      <c r="EB34" s="155">
        <f t="shared" si="350"/>
        <v>0.35276896767112187</v>
      </c>
      <c r="EC34" s="155">
        <f t="shared" si="350"/>
        <v>0.35276896767112187</v>
      </c>
      <c r="ED34" s="155">
        <f t="shared" si="350"/>
        <v>0.35276896767112187</v>
      </c>
      <c r="EE34" s="757">
        <f>EE32/EE16</f>
        <v>0.35276896767112187</v>
      </c>
      <c r="EF34" s="11"/>
      <c r="EG34" s="11"/>
      <c r="EH34" s="11"/>
      <c r="EI34" s="11"/>
    </row>
    <row r="35" spans="2:139">
      <c r="B35" s="161"/>
      <c r="D35" s="1099"/>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55"/>
      <c r="BA35" s="155"/>
      <c r="BB35" s="155"/>
      <c r="BC35" s="155"/>
      <c r="BD35" s="155"/>
      <c r="BE35" s="155"/>
      <c r="BF35" s="155"/>
      <c r="BG35" s="155"/>
      <c r="BH35" s="155"/>
      <c r="BI35" s="155"/>
      <c r="BJ35" s="155"/>
      <c r="BK35" s="155"/>
      <c r="BL35" s="155"/>
      <c r="BM35" s="155"/>
      <c r="BN35" s="155"/>
      <c r="BO35" s="155"/>
      <c r="BP35" s="155"/>
      <c r="BQ35" s="155"/>
      <c r="BR35" s="155"/>
      <c r="BS35" s="155"/>
      <c r="BT35" s="155"/>
      <c r="BU35" s="155"/>
      <c r="BV35" s="155"/>
      <c r="BW35" s="155"/>
      <c r="BX35" s="155"/>
      <c r="BY35" s="155"/>
      <c r="BZ35" s="155"/>
      <c r="CA35" s="155"/>
      <c r="CB35" s="155"/>
      <c r="CC35" s="155"/>
      <c r="CD35" s="155"/>
      <c r="CE35" s="155"/>
      <c r="CF35" s="155"/>
      <c r="CG35" s="155"/>
      <c r="CH35" s="155"/>
      <c r="CI35" s="155"/>
      <c r="CJ35" s="155"/>
      <c r="CK35" s="155"/>
      <c r="CL35" s="155"/>
      <c r="CM35" s="155"/>
      <c r="CN35" s="155"/>
      <c r="CO35" s="155"/>
      <c r="CP35" s="155"/>
      <c r="CQ35" s="155"/>
      <c r="CR35" s="155"/>
      <c r="CS35" s="155"/>
      <c r="CT35" s="155"/>
      <c r="CU35" s="155"/>
      <c r="CV35" s="155"/>
      <c r="CW35" s="155"/>
      <c r="CX35" s="155"/>
      <c r="CY35" s="155"/>
      <c r="CZ35" s="155"/>
      <c r="DA35" s="155"/>
      <c r="DB35" s="155"/>
      <c r="DC35" s="155"/>
      <c r="DD35" s="155"/>
      <c r="DE35" s="155"/>
      <c r="DF35" s="155"/>
      <c r="DG35" s="155"/>
      <c r="DH35" s="155"/>
      <c r="DI35" s="155"/>
      <c r="DJ35" s="155"/>
      <c r="DK35" s="155"/>
      <c r="DL35" s="155"/>
      <c r="DM35" s="155"/>
      <c r="DN35" s="155"/>
      <c r="DO35" s="155"/>
      <c r="DP35" s="155"/>
      <c r="DQ35" s="155"/>
      <c r="DR35" s="155"/>
      <c r="DS35" s="155"/>
      <c r="DT35" s="155"/>
      <c r="DU35" s="155"/>
      <c r="DV35" s="155"/>
      <c r="DW35" s="155"/>
      <c r="DX35" s="155"/>
      <c r="DY35" s="155"/>
      <c r="DZ35" s="155"/>
      <c r="EA35" s="155"/>
      <c r="EB35" s="155"/>
      <c r="EC35" s="155"/>
      <c r="ED35" s="155"/>
      <c r="EE35" s="757"/>
      <c r="EF35" s="11"/>
      <c r="EG35" s="11"/>
      <c r="EH35" s="11"/>
      <c r="EI35" s="11"/>
    </row>
    <row r="36" spans="2:139">
      <c r="B36" s="753" t="s">
        <v>305</v>
      </c>
      <c r="C36" s="1098"/>
      <c r="D36" s="1098"/>
      <c r="E36" s="1057" t="e">
        <f>E16-E32</f>
        <v>#REF!</v>
      </c>
      <c r="F36" s="1057">
        <f>F16-F32</f>
        <v>180958.48342603334</v>
      </c>
      <c r="G36" s="1057">
        <f>G16-G32</f>
        <v>180958.48342603334</v>
      </c>
      <c r="H36" s="1057">
        <f t="shared" ref="H36:Q36" si="351">H16-H32</f>
        <v>180958.48342603334</v>
      </c>
      <c r="I36" s="1057">
        <f t="shared" si="351"/>
        <v>180958.48342603334</v>
      </c>
      <c r="J36" s="1057">
        <f t="shared" si="351"/>
        <v>180958.48342603334</v>
      </c>
      <c r="K36" s="1057">
        <f t="shared" si="351"/>
        <v>180958.48342603334</v>
      </c>
      <c r="L36" s="1057">
        <f t="shared" si="351"/>
        <v>180958.48342603334</v>
      </c>
      <c r="M36" s="1057">
        <f t="shared" si="351"/>
        <v>180958.48342603334</v>
      </c>
      <c r="N36" s="1057">
        <f t="shared" si="351"/>
        <v>180958.48342603334</v>
      </c>
      <c r="O36" s="1057">
        <f t="shared" si="351"/>
        <v>180958.48342603334</v>
      </c>
      <c r="P36" s="1057">
        <f t="shared" si="351"/>
        <v>180958.48342603334</v>
      </c>
      <c r="Q36" s="1057">
        <f t="shared" si="351"/>
        <v>180958.48342603334</v>
      </c>
      <c r="R36" s="1057">
        <f>SUM(F36:Q36)</f>
        <v>2171501.8011123999</v>
      </c>
      <c r="S36" s="1057">
        <f t="shared" ref="S36:AC36" si="352">S16-S32</f>
        <v>232941.68058719984</v>
      </c>
      <c r="T36" s="1057">
        <f t="shared" si="352"/>
        <v>232941.68058719984</v>
      </c>
      <c r="U36" s="1057">
        <f t="shared" si="352"/>
        <v>232941.68058719984</v>
      </c>
      <c r="V36" s="1057">
        <f t="shared" si="352"/>
        <v>232941.68058719984</v>
      </c>
      <c r="W36" s="1057">
        <f t="shared" si="352"/>
        <v>232941.68058719984</v>
      </c>
      <c r="X36" s="1057">
        <f t="shared" si="352"/>
        <v>232941.68058719984</v>
      </c>
      <c r="Y36" s="1057">
        <f t="shared" si="352"/>
        <v>232941.68058719984</v>
      </c>
      <c r="Z36" s="1057">
        <f t="shared" si="352"/>
        <v>232941.68058719984</v>
      </c>
      <c r="AA36" s="1057">
        <f t="shared" si="352"/>
        <v>232941.68058719984</v>
      </c>
      <c r="AB36" s="1057">
        <f t="shared" si="352"/>
        <v>232941.68058719984</v>
      </c>
      <c r="AC36" s="1057">
        <f t="shared" si="352"/>
        <v>232941.68058719984</v>
      </c>
      <c r="AD36" s="1057">
        <f>AD16-AD32</f>
        <v>232941.68058719984</v>
      </c>
      <c r="AE36" s="1057">
        <f t="shared" si="127"/>
        <v>2795300.1670463979</v>
      </c>
      <c r="AF36" s="1057">
        <f t="shared" ref="AF36:AQ36" si="353">AF16-AF32</f>
        <v>291322.42563189857</v>
      </c>
      <c r="AG36" s="1057">
        <f t="shared" si="353"/>
        <v>291322.42563189857</v>
      </c>
      <c r="AH36" s="1057">
        <f t="shared" si="353"/>
        <v>291322.42563189857</v>
      </c>
      <c r="AI36" s="1057">
        <f t="shared" si="353"/>
        <v>291322.42563189857</v>
      </c>
      <c r="AJ36" s="1057">
        <f t="shared" si="353"/>
        <v>291322.42563189857</v>
      </c>
      <c r="AK36" s="1057">
        <f t="shared" si="353"/>
        <v>291322.42563189857</v>
      </c>
      <c r="AL36" s="1057">
        <f t="shared" si="353"/>
        <v>291322.42563189857</v>
      </c>
      <c r="AM36" s="1057">
        <f t="shared" si="353"/>
        <v>291322.42563189857</v>
      </c>
      <c r="AN36" s="1057">
        <f t="shared" si="353"/>
        <v>291322.42563189857</v>
      </c>
      <c r="AO36" s="1057">
        <f t="shared" si="353"/>
        <v>291322.42563189857</v>
      </c>
      <c r="AP36" s="1057">
        <f t="shared" si="353"/>
        <v>291322.42563189857</v>
      </c>
      <c r="AQ36" s="1057">
        <f t="shared" si="353"/>
        <v>291322.42563189857</v>
      </c>
      <c r="AR36" s="1057">
        <f>SUM(AF36:AQ36)</f>
        <v>3495869.1075827819</v>
      </c>
      <c r="AS36" s="1057">
        <f t="shared" ref="AS36:BD36" si="354">AS16-AS32</f>
        <v>300062.09840085555</v>
      </c>
      <c r="AT36" s="1057">
        <f t="shared" si="354"/>
        <v>300062.09840085555</v>
      </c>
      <c r="AU36" s="1057">
        <f t="shared" si="354"/>
        <v>300062.09840085555</v>
      </c>
      <c r="AV36" s="1057">
        <f t="shared" si="354"/>
        <v>300062.09840085555</v>
      </c>
      <c r="AW36" s="1057">
        <f t="shared" si="354"/>
        <v>300062.09840085555</v>
      </c>
      <c r="AX36" s="1057">
        <f t="shared" si="354"/>
        <v>300062.09840085555</v>
      </c>
      <c r="AY36" s="1057">
        <f t="shared" si="354"/>
        <v>300062.09840085555</v>
      </c>
      <c r="AZ36" s="1057">
        <f t="shared" si="354"/>
        <v>300062.09840085555</v>
      </c>
      <c r="BA36" s="1057">
        <f t="shared" si="354"/>
        <v>300062.09840085555</v>
      </c>
      <c r="BB36" s="1057">
        <f t="shared" si="354"/>
        <v>300062.09840085555</v>
      </c>
      <c r="BC36" s="1057">
        <f t="shared" si="354"/>
        <v>300062.09840085555</v>
      </c>
      <c r="BD36" s="1057">
        <f t="shared" si="354"/>
        <v>300062.09840085555</v>
      </c>
      <c r="BE36" s="1057">
        <f t="shared" si="26"/>
        <v>3600745.1808102657</v>
      </c>
      <c r="BF36" s="1057">
        <f>BF16-BF32</f>
        <v>309063.96135288122</v>
      </c>
      <c r="BG36" s="1057">
        <f t="shared" ref="BG36:BQ36" si="355">BG16-BG32</f>
        <v>309063.96135288122</v>
      </c>
      <c r="BH36" s="1057">
        <f t="shared" si="355"/>
        <v>309063.96135288122</v>
      </c>
      <c r="BI36" s="1057">
        <f t="shared" si="355"/>
        <v>309063.96135288122</v>
      </c>
      <c r="BJ36" s="1057">
        <f t="shared" si="355"/>
        <v>309063.96135288122</v>
      </c>
      <c r="BK36" s="1057">
        <f t="shared" si="355"/>
        <v>309063.96135288122</v>
      </c>
      <c r="BL36" s="1057">
        <f t="shared" si="355"/>
        <v>309063.96135288122</v>
      </c>
      <c r="BM36" s="1057">
        <f t="shared" si="355"/>
        <v>309063.96135288122</v>
      </c>
      <c r="BN36" s="1057">
        <f t="shared" si="355"/>
        <v>309063.96135288122</v>
      </c>
      <c r="BO36" s="1057">
        <f t="shared" si="355"/>
        <v>309063.96135288122</v>
      </c>
      <c r="BP36" s="1057">
        <f t="shared" si="355"/>
        <v>309063.96135288122</v>
      </c>
      <c r="BQ36" s="1057">
        <f t="shared" si="355"/>
        <v>309063.96135288122</v>
      </c>
      <c r="BR36" s="1057">
        <f t="shared" si="28"/>
        <v>3708767.5362345739</v>
      </c>
      <c r="BS36" s="1057">
        <f t="shared" ref="BS36:CD36" si="356">BS16-BS32</f>
        <v>318335.8801934676</v>
      </c>
      <c r="BT36" s="1057">
        <f t="shared" si="356"/>
        <v>318335.8801934676</v>
      </c>
      <c r="BU36" s="1057">
        <f t="shared" si="356"/>
        <v>318335.8801934676</v>
      </c>
      <c r="BV36" s="1057">
        <f t="shared" si="356"/>
        <v>318335.8801934676</v>
      </c>
      <c r="BW36" s="1057">
        <f t="shared" si="356"/>
        <v>318335.8801934676</v>
      </c>
      <c r="BX36" s="1057">
        <f t="shared" si="356"/>
        <v>318335.8801934676</v>
      </c>
      <c r="BY36" s="1057">
        <f t="shared" si="356"/>
        <v>318335.8801934676</v>
      </c>
      <c r="BZ36" s="1057">
        <f t="shared" si="356"/>
        <v>318335.8801934676</v>
      </c>
      <c r="CA36" s="1057">
        <f t="shared" si="356"/>
        <v>318335.8801934676</v>
      </c>
      <c r="CB36" s="1057">
        <f t="shared" si="356"/>
        <v>318335.8801934676</v>
      </c>
      <c r="CC36" s="1057">
        <f t="shared" si="356"/>
        <v>318335.8801934676</v>
      </c>
      <c r="CD36" s="1057">
        <f t="shared" si="356"/>
        <v>318335.8801934676</v>
      </c>
      <c r="CE36" s="1057">
        <f t="shared" si="30"/>
        <v>3820030.5623216121</v>
      </c>
      <c r="CF36" s="1057">
        <f t="shared" ref="CF36:CQ36" si="357">CF16-CF32</f>
        <v>327885.95659927168</v>
      </c>
      <c r="CG36" s="1057">
        <f t="shared" si="357"/>
        <v>327885.95659927168</v>
      </c>
      <c r="CH36" s="1057">
        <f t="shared" si="357"/>
        <v>327885.95659927168</v>
      </c>
      <c r="CI36" s="1057">
        <f t="shared" si="357"/>
        <v>327885.95659927168</v>
      </c>
      <c r="CJ36" s="1057">
        <f t="shared" si="357"/>
        <v>327885.95659927168</v>
      </c>
      <c r="CK36" s="1057">
        <f t="shared" si="357"/>
        <v>327885.95659927168</v>
      </c>
      <c r="CL36" s="1057">
        <f t="shared" si="357"/>
        <v>327885.95659927168</v>
      </c>
      <c r="CM36" s="1057">
        <f t="shared" si="357"/>
        <v>327885.95659927168</v>
      </c>
      <c r="CN36" s="1057">
        <f t="shared" si="357"/>
        <v>327885.95659927168</v>
      </c>
      <c r="CO36" s="1057">
        <f t="shared" si="357"/>
        <v>327885.95659927168</v>
      </c>
      <c r="CP36" s="1057">
        <f t="shared" si="357"/>
        <v>327885.95659927168</v>
      </c>
      <c r="CQ36" s="1057">
        <f t="shared" si="357"/>
        <v>327885.95659927168</v>
      </c>
      <c r="CR36" s="1057">
        <f t="shared" si="32"/>
        <v>3934631.4791912609</v>
      </c>
      <c r="CS36" s="1057">
        <f t="shared" ref="CS36:DD36" si="358">CS16-CS32</f>
        <v>337722.53529724991</v>
      </c>
      <c r="CT36" s="1057">
        <f t="shared" si="358"/>
        <v>337722.53529724991</v>
      </c>
      <c r="CU36" s="1057">
        <f t="shared" si="358"/>
        <v>337722.53529724991</v>
      </c>
      <c r="CV36" s="1057">
        <f t="shared" si="358"/>
        <v>337722.53529724991</v>
      </c>
      <c r="CW36" s="1057">
        <f t="shared" si="358"/>
        <v>337722.53529724991</v>
      </c>
      <c r="CX36" s="1057">
        <f t="shared" si="358"/>
        <v>337722.53529724991</v>
      </c>
      <c r="CY36" s="1057">
        <f t="shared" si="358"/>
        <v>337722.53529724991</v>
      </c>
      <c r="CZ36" s="1057">
        <f t="shared" si="358"/>
        <v>337722.53529724991</v>
      </c>
      <c r="DA36" s="1057">
        <f t="shared" si="358"/>
        <v>337722.53529724991</v>
      </c>
      <c r="DB36" s="1057">
        <f t="shared" si="358"/>
        <v>337722.53529724991</v>
      </c>
      <c r="DC36" s="1057">
        <f t="shared" si="358"/>
        <v>337722.53529724991</v>
      </c>
      <c r="DD36" s="1057">
        <f t="shared" si="358"/>
        <v>337722.53529724991</v>
      </c>
      <c r="DE36" s="1057">
        <f t="shared" si="34"/>
        <v>4052670.4235669989</v>
      </c>
      <c r="DF36" s="1057">
        <f t="shared" ref="DF36:DQ36" si="359">DF16-DF32</f>
        <v>347854.21135616716</v>
      </c>
      <c r="DG36" s="1057">
        <f t="shared" si="359"/>
        <v>347854.21135616716</v>
      </c>
      <c r="DH36" s="1057">
        <f t="shared" si="359"/>
        <v>347854.21135616716</v>
      </c>
      <c r="DI36" s="1057">
        <f t="shared" si="359"/>
        <v>347854.21135616716</v>
      </c>
      <c r="DJ36" s="1057">
        <f t="shared" si="359"/>
        <v>347854.21135616716</v>
      </c>
      <c r="DK36" s="1057">
        <f t="shared" si="359"/>
        <v>347854.21135616716</v>
      </c>
      <c r="DL36" s="1057">
        <f t="shared" si="359"/>
        <v>347854.21135616716</v>
      </c>
      <c r="DM36" s="1057">
        <f t="shared" si="359"/>
        <v>347854.21135616716</v>
      </c>
      <c r="DN36" s="1057">
        <f t="shared" si="359"/>
        <v>347854.21135616716</v>
      </c>
      <c r="DO36" s="1057">
        <f t="shared" si="359"/>
        <v>347854.21135616716</v>
      </c>
      <c r="DP36" s="1057">
        <f t="shared" si="359"/>
        <v>347854.21135616716</v>
      </c>
      <c r="DQ36" s="1057">
        <f t="shared" si="359"/>
        <v>347854.21135616716</v>
      </c>
      <c r="DR36" s="1057">
        <f t="shared" si="36"/>
        <v>4174250.5362740061</v>
      </c>
      <c r="DS36" s="1057">
        <f t="shared" ref="DS36:ED36" si="360">DS16-DS32</f>
        <v>358289.8376968524</v>
      </c>
      <c r="DT36" s="1057">
        <f t="shared" si="360"/>
        <v>358289.8376968524</v>
      </c>
      <c r="DU36" s="1057">
        <f t="shared" si="360"/>
        <v>358289.8376968524</v>
      </c>
      <c r="DV36" s="1057">
        <f t="shared" si="360"/>
        <v>358289.8376968524</v>
      </c>
      <c r="DW36" s="1057">
        <f t="shared" si="360"/>
        <v>358289.8376968524</v>
      </c>
      <c r="DX36" s="1057">
        <f t="shared" si="360"/>
        <v>358289.8376968524</v>
      </c>
      <c r="DY36" s="1057">
        <f t="shared" si="360"/>
        <v>358289.8376968524</v>
      </c>
      <c r="DZ36" s="1057">
        <f t="shared" si="360"/>
        <v>358289.8376968524</v>
      </c>
      <c r="EA36" s="1057">
        <f t="shared" si="360"/>
        <v>358289.8376968524</v>
      </c>
      <c r="EB36" s="1057">
        <f t="shared" si="360"/>
        <v>358289.8376968524</v>
      </c>
      <c r="EC36" s="1057">
        <f t="shared" si="360"/>
        <v>358289.8376968524</v>
      </c>
      <c r="ED36" s="1057">
        <f t="shared" si="360"/>
        <v>358289.8376968524</v>
      </c>
      <c r="EE36" s="754">
        <f>SUM(DS36:ED36)</f>
        <v>4299478.0523622278</v>
      </c>
      <c r="EF36" s="11"/>
      <c r="EG36" s="11"/>
      <c r="EH36" s="11"/>
      <c r="EI36" s="11"/>
    </row>
    <row r="37" spans="2:139">
      <c r="B37" s="758"/>
      <c r="C37" s="9"/>
      <c r="D37" s="1099" t="s">
        <v>306</v>
      </c>
      <c r="E37" s="1099"/>
      <c r="F37" s="12"/>
      <c r="G37" s="12"/>
      <c r="H37" s="12"/>
      <c r="I37" s="12"/>
      <c r="J37" s="12"/>
      <c r="K37" s="12"/>
      <c r="L37" s="6"/>
      <c r="R37" s="331"/>
      <c r="S37" s="331"/>
      <c r="T37" s="331">
        <f>(T36-F36)/F36</f>
        <v>0.28726587544824661</v>
      </c>
      <c r="U37" s="331">
        <f>(U36-G36)/G36</f>
        <v>0.28726587544824661</v>
      </c>
      <c r="V37" s="331">
        <f t="shared" ref="V37:AD37" si="361">(V36-H36)/H36</f>
        <v>0.28726587544824661</v>
      </c>
      <c r="W37" s="331">
        <f t="shared" si="361"/>
        <v>0.28726587544824661</v>
      </c>
      <c r="X37" s="331">
        <f t="shared" si="361"/>
        <v>0.28726587544824661</v>
      </c>
      <c r="Y37" s="331">
        <f t="shared" si="361"/>
        <v>0.28726587544824661</v>
      </c>
      <c r="Z37" s="331">
        <f t="shared" si="361"/>
        <v>0.28726587544824661</v>
      </c>
      <c r="AA37" s="331">
        <f t="shared" si="361"/>
        <v>0.28726587544824661</v>
      </c>
      <c r="AB37" s="331">
        <f t="shared" si="361"/>
        <v>0.28726587544824661</v>
      </c>
      <c r="AC37" s="331">
        <f t="shared" si="361"/>
        <v>0.28726587544824661</v>
      </c>
      <c r="AD37" s="331">
        <f t="shared" si="361"/>
        <v>0.28726587544824661</v>
      </c>
      <c r="AE37" s="331">
        <f>(AE36-R36)/R36</f>
        <v>0.28726587544824667</v>
      </c>
      <c r="AF37" s="331">
        <f t="shared" ref="AF37:CQ37" si="362">(AF36-S36)/S36</f>
        <v>0.25062386816104548</v>
      </c>
      <c r="AG37" s="331">
        <f t="shared" si="362"/>
        <v>0.25062386816104548</v>
      </c>
      <c r="AH37" s="331">
        <f t="shared" si="362"/>
        <v>0.25062386816104548</v>
      </c>
      <c r="AI37" s="331">
        <f t="shared" si="362"/>
        <v>0.25062386816104548</v>
      </c>
      <c r="AJ37" s="331">
        <f t="shared" si="362"/>
        <v>0.25062386816104548</v>
      </c>
      <c r="AK37" s="331">
        <f t="shared" si="362"/>
        <v>0.25062386816104548</v>
      </c>
      <c r="AL37" s="331">
        <f t="shared" si="362"/>
        <v>0.25062386816104548</v>
      </c>
      <c r="AM37" s="331">
        <f t="shared" si="362"/>
        <v>0.25062386816104548</v>
      </c>
      <c r="AN37" s="331">
        <f t="shared" si="362"/>
        <v>0.25062386816104548</v>
      </c>
      <c r="AO37" s="331">
        <f t="shared" si="362"/>
        <v>0.25062386816104548</v>
      </c>
      <c r="AP37" s="331">
        <f t="shared" si="362"/>
        <v>0.25062386816104548</v>
      </c>
      <c r="AQ37" s="331">
        <f t="shared" si="362"/>
        <v>0.25062386816104548</v>
      </c>
      <c r="AR37" s="331">
        <f>(AR36-AE36)/AE36</f>
        <v>0.2506238681610452</v>
      </c>
      <c r="AS37" s="331">
        <f t="shared" si="362"/>
        <v>3.0000000000000086E-2</v>
      </c>
      <c r="AT37" s="331">
        <f t="shared" si="362"/>
        <v>3.0000000000000086E-2</v>
      </c>
      <c r="AU37" s="331">
        <f t="shared" si="362"/>
        <v>3.0000000000000086E-2</v>
      </c>
      <c r="AV37" s="331">
        <f t="shared" si="362"/>
        <v>3.0000000000000086E-2</v>
      </c>
      <c r="AW37" s="331">
        <f t="shared" si="362"/>
        <v>3.0000000000000086E-2</v>
      </c>
      <c r="AX37" s="331">
        <f t="shared" si="362"/>
        <v>3.0000000000000086E-2</v>
      </c>
      <c r="AY37" s="331">
        <f t="shared" si="362"/>
        <v>3.0000000000000086E-2</v>
      </c>
      <c r="AZ37" s="331">
        <f t="shared" si="362"/>
        <v>3.0000000000000086E-2</v>
      </c>
      <c r="BA37" s="331">
        <f t="shared" si="362"/>
        <v>3.0000000000000086E-2</v>
      </c>
      <c r="BB37" s="331">
        <f t="shared" si="362"/>
        <v>3.0000000000000086E-2</v>
      </c>
      <c r="BC37" s="331">
        <f t="shared" si="362"/>
        <v>3.0000000000000086E-2</v>
      </c>
      <c r="BD37" s="331">
        <f t="shared" si="362"/>
        <v>3.0000000000000086E-2</v>
      </c>
      <c r="BE37" s="331">
        <f>(BE36-AR36)/AR36</f>
        <v>3.0000000000000093E-2</v>
      </c>
      <c r="BF37" s="331">
        <f t="shared" si="362"/>
        <v>2.9999999999999995E-2</v>
      </c>
      <c r="BG37" s="331">
        <f t="shared" si="362"/>
        <v>2.9999999999999995E-2</v>
      </c>
      <c r="BH37" s="331">
        <f t="shared" si="362"/>
        <v>2.9999999999999995E-2</v>
      </c>
      <c r="BI37" s="331">
        <f t="shared" si="362"/>
        <v>2.9999999999999995E-2</v>
      </c>
      <c r="BJ37" s="331">
        <f t="shared" si="362"/>
        <v>2.9999999999999995E-2</v>
      </c>
      <c r="BK37" s="331">
        <f t="shared" si="362"/>
        <v>2.9999999999999995E-2</v>
      </c>
      <c r="BL37" s="331">
        <f t="shared" si="362"/>
        <v>2.9999999999999995E-2</v>
      </c>
      <c r="BM37" s="331">
        <f t="shared" si="362"/>
        <v>2.9999999999999995E-2</v>
      </c>
      <c r="BN37" s="331">
        <f t="shared" si="362"/>
        <v>2.9999999999999995E-2</v>
      </c>
      <c r="BO37" s="331">
        <f t="shared" si="362"/>
        <v>2.9999999999999995E-2</v>
      </c>
      <c r="BP37" s="331">
        <f t="shared" si="362"/>
        <v>2.9999999999999995E-2</v>
      </c>
      <c r="BQ37" s="331">
        <f t="shared" si="362"/>
        <v>2.9999999999999995E-2</v>
      </c>
      <c r="BR37" s="331">
        <f t="shared" si="362"/>
        <v>3.0000000000000068E-2</v>
      </c>
      <c r="BS37" s="331">
        <f t="shared" si="362"/>
        <v>2.9999999999999825E-2</v>
      </c>
      <c r="BT37" s="331">
        <f t="shared" si="362"/>
        <v>2.9999999999999825E-2</v>
      </c>
      <c r="BU37" s="331">
        <f t="shared" si="362"/>
        <v>2.9999999999999825E-2</v>
      </c>
      <c r="BV37" s="331">
        <f t="shared" si="362"/>
        <v>2.9999999999999825E-2</v>
      </c>
      <c r="BW37" s="331">
        <f t="shared" si="362"/>
        <v>2.9999999999999825E-2</v>
      </c>
      <c r="BX37" s="331">
        <f t="shared" si="362"/>
        <v>2.9999999999999825E-2</v>
      </c>
      <c r="BY37" s="331">
        <f t="shared" si="362"/>
        <v>2.9999999999999825E-2</v>
      </c>
      <c r="BZ37" s="331">
        <f t="shared" si="362"/>
        <v>2.9999999999999825E-2</v>
      </c>
      <c r="CA37" s="331">
        <f t="shared" si="362"/>
        <v>2.9999999999999825E-2</v>
      </c>
      <c r="CB37" s="331">
        <f t="shared" si="362"/>
        <v>2.9999999999999825E-2</v>
      </c>
      <c r="CC37" s="331">
        <f t="shared" si="362"/>
        <v>2.9999999999999825E-2</v>
      </c>
      <c r="CD37" s="331">
        <f t="shared" si="362"/>
        <v>2.9999999999999825E-2</v>
      </c>
      <c r="CE37" s="331">
        <f t="shared" si="362"/>
        <v>3.000000000000027E-2</v>
      </c>
      <c r="CF37" s="331">
        <f t="shared" si="362"/>
        <v>3.0000000000000165E-2</v>
      </c>
      <c r="CG37" s="331">
        <f t="shared" si="362"/>
        <v>3.0000000000000165E-2</v>
      </c>
      <c r="CH37" s="331">
        <f t="shared" si="362"/>
        <v>3.0000000000000165E-2</v>
      </c>
      <c r="CI37" s="331">
        <f t="shared" si="362"/>
        <v>3.0000000000000165E-2</v>
      </c>
      <c r="CJ37" s="331">
        <f t="shared" si="362"/>
        <v>3.0000000000000165E-2</v>
      </c>
      <c r="CK37" s="331">
        <f t="shared" si="362"/>
        <v>3.0000000000000165E-2</v>
      </c>
      <c r="CL37" s="331">
        <f t="shared" si="362"/>
        <v>3.0000000000000165E-2</v>
      </c>
      <c r="CM37" s="331">
        <f t="shared" si="362"/>
        <v>3.0000000000000165E-2</v>
      </c>
      <c r="CN37" s="331">
        <f t="shared" si="362"/>
        <v>3.0000000000000165E-2</v>
      </c>
      <c r="CO37" s="331">
        <f t="shared" si="362"/>
        <v>3.0000000000000165E-2</v>
      </c>
      <c r="CP37" s="331">
        <f t="shared" si="362"/>
        <v>3.0000000000000165E-2</v>
      </c>
      <c r="CQ37" s="331">
        <f t="shared" si="362"/>
        <v>3.0000000000000165E-2</v>
      </c>
      <c r="CR37" s="331">
        <f t="shared" ref="CR37:ED37" si="363">(CR36-CE36)/CE36</f>
        <v>3.0000000000000096E-2</v>
      </c>
      <c r="CS37" s="331">
        <f t="shared" si="363"/>
        <v>3.0000000000000235E-2</v>
      </c>
      <c r="CT37" s="331">
        <f t="shared" si="363"/>
        <v>3.0000000000000235E-2</v>
      </c>
      <c r="CU37" s="331">
        <f t="shared" si="363"/>
        <v>3.0000000000000235E-2</v>
      </c>
      <c r="CV37" s="331">
        <f t="shared" si="363"/>
        <v>3.0000000000000235E-2</v>
      </c>
      <c r="CW37" s="331">
        <f t="shared" si="363"/>
        <v>3.0000000000000235E-2</v>
      </c>
      <c r="CX37" s="331">
        <f t="shared" si="363"/>
        <v>3.0000000000000235E-2</v>
      </c>
      <c r="CY37" s="331">
        <f t="shared" si="363"/>
        <v>3.0000000000000235E-2</v>
      </c>
      <c r="CZ37" s="331">
        <f t="shared" si="363"/>
        <v>3.0000000000000235E-2</v>
      </c>
      <c r="DA37" s="331">
        <f t="shared" si="363"/>
        <v>3.0000000000000235E-2</v>
      </c>
      <c r="DB37" s="331">
        <f t="shared" si="363"/>
        <v>3.0000000000000235E-2</v>
      </c>
      <c r="DC37" s="331">
        <f t="shared" si="363"/>
        <v>3.0000000000000235E-2</v>
      </c>
      <c r="DD37" s="331">
        <f t="shared" si="363"/>
        <v>3.0000000000000235E-2</v>
      </c>
      <c r="DE37" s="331">
        <f t="shared" si="363"/>
        <v>3.0000000000000054E-2</v>
      </c>
      <c r="DF37" s="331">
        <f t="shared" si="363"/>
        <v>2.9999999999999263E-2</v>
      </c>
      <c r="DG37" s="331">
        <f t="shared" si="363"/>
        <v>2.9999999999999263E-2</v>
      </c>
      <c r="DH37" s="331">
        <f t="shared" si="363"/>
        <v>2.9999999999999263E-2</v>
      </c>
      <c r="DI37" s="331">
        <f t="shared" si="363"/>
        <v>2.9999999999999263E-2</v>
      </c>
      <c r="DJ37" s="331">
        <f t="shared" si="363"/>
        <v>2.9999999999999263E-2</v>
      </c>
      <c r="DK37" s="331">
        <f t="shared" si="363"/>
        <v>2.9999999999999263E-2</v>
      </c>
      <c r="DL37" s="331">
        <f t="shared" si="363"/>
        <v>2.9999999999999263E-2</v>
      </c>
      <c r="DM37" s="331">
        <f t="shared" si="363"/>
        <v>2.9999999999999263E-2</v>
      </c>
      <c r="DN37" s="331">
        <f t="shared" si="363"/>
        <v>2.9999999999999263E-2</v>
      </c>
      <c r="DO37" s="331">
        <f t="shared" si="363"/>
        <v>2.9999999999999263E-2</v>
      </c>
      <c r="DP37" s="331">
        <f t="shared" si="363"/>
        <v>2.9999999999999263E-2</v>
      </c>
      <c r="DQ37" s="331">
        <f t="shared" si="363"/>
        <v>2.9999999999999263E-2</v>
      </c>
      <c r="DR37" s="331">
        <f t="shared" si="363"/>
        <v>2.9999999999999319E-2</v>
      </c>
      <c r="DS37" s="331">
        <f t="shared" si="363"/>
        <v>3.0000000000000641E-2</v>
      </c>
      <c r="DT37" s="331">
        <f t="shared" si="363"/>
        <v>3.0000000000000641E-2</v>
      </c>
      <c r="DU37" s="331">
        <f t="shared" si="363"/>
        <v>3.0000000000000641E-2</v>
      </c>
      <c r="DV37" s="331">
        <f t="shared" si="363"/>
        <v>3.0000000000000641E-2</v>
      </c>
      <c r="DW37" s="331">
        <f t="shared" si="363"/>
        <v>3.0000000000000641E-2</v>
      </c>
      <c r="DX37" s="331">
        <f t="shared" si="363"/>
        <v>3.0000000000000641E-2</v>
      </c>
      <c r="DY37" s="331">
        <f t="shared" si="363"/>
        <v>3.0000000000000641E-2</v>
      </c>
      <c r="DZ37" s="331">
        <f t="shared" si="363"/>
        <v>3.0000000000000641E-2</v>
      </c>
      <c r="EA37" s="331">
        <f t="shared" si="363"/>
        <v>3.0000000000000641E-2</v>
      </c>
      <c r="EB37" s="331">
        <f t="shared" si="363"/>
        <v>3.0000000000000641E-2</v>
      </c>
      <c r="EC37" s="331">
        <f t="shared" si="363"/>
        <v>3.0000000000000641E-2</v>
      </c>
      <c r="ED37" s="331">
        <f t="shared" si="363"/>
        <v>3.0000000000000641E-2</v>
      </c>
      <c r="EE37" s="756">
        <f>(EE36-DR36)/DR36</f>
        <v>3.000000000000036E-2</v>
      </c>
      <c r="EF37" s="11"/>
      <c r="EG37" s="11"/>
      <c r="EH37" s="11"/>
      <c r="EI37" s="11"/>
    </row>
    <row r="38" spans="2:139">
      <c r="B38" s="745" t="s">
        <v>307</v>
      </c>
      <c r="C38" s="1097"/>
      <c r="D38" s="1097"/>
      <c r="E38" s="1097"/>
      <c r="F38" s="1058"/>
      <c r="G38" s="1058"/>
      <c r="H38" s="1059"/>
      <c r="I38" s="1059"/>
      <c r="J38" s="1059"/>
      <c r="K38" s="1059"/>
      <c r="L38" s="1060"/>
      <c r="M38" s="1056"/>
      <c r="N38" s="1056"/>
      <c r="O38" s="1056"/>
      <c r="P38" s="1056"/>
      <c r="Q38" s="1056"/>
      <c r="R38" s="1056"/>
      <c r="S38" s="1056"/>
      <c r="T38" s="1056"/>
      <c r="U38" s="1056"/>
      <c r="V38" s="1056"/>
      <c r="W38" s="1056"/>
      <c r="X38" s="1056"/>
      <c r="Y38" s="1056"/>
      <c r="Z38" s="1056"/>
      <c r="AA38" s="1056"/>
      <c r="AB38" s="1056"/>
      <c r="AC38" s="1056"/>
      <c r="AD38" s="1056"/>
      <c r="AE38" s="1056"/>
      <c r="AF38" s="1056"/>
      <c r="AG38" s="1056"/>
      <c r="AH38" s="1056"/>
      <c r="AI38" s="1056"/>
      <c r="AJ38" s="1056"/>
      <c r="AK38" s="1056"/>
      <c r="AL38" s="1056"/>
      <c r="AM38" s="1056"/>
      <c r="AN38" s="1056"/>
      <c r="AO38" s="1056"/>
      <c r="AP38" s="1056"/>
      <c r="AQ38" s="1056"/>
      <c r="AR38" s="1056"/>
      <c r="AS38" s="1056"/>
      <c r="AT38" s="1056"/>
      <c r="AU38" s="1056"/>
      <c r="AV38" s="1056"/>
      <c r="AW38" s="1056"/>
      <c r="AX38" s="1056"/>
      <c r="AY38" s="1056"/>
      <c r="AZ38" s="1056"/>
      <c r="BA38" s="1056"/>
      <c r="BB38" s="1056"/>
      <c r="BC38" s="1056"/>
      <c r="BD38" s="1056"/>
      <c r="BE38" s="1056"/>
      <c r="BF38" s="1056"/>
      <c r="BG38" s="1056"/>
      <c r="BH38" s="1056"/>
      <c r="BI38" s="1056"/>
      <c r="BJ38" s="1056"/>
      <c r="BK38" s="1056"/>
      <c r="BL38" s="1056"/>
      <c r="BM38" s="1056"/>
      <c r="BN38" s="1056"/>
      <c r="BO38" s="1056"/>
      <c r="BP38" s="1056"/>
      <c r="BQ38" s="1056"/>
      <c r="BR38" s="1056"/>
      <c r="BS38" s="1056"/>
      <c r="BT38" s="1056"/>
      <c r="BU38" s="1056"/>
      <c r="BV38" s="1056"/>
      <c r="BW38" s="1056"/>
      <c r="BX38" s="1056"/>
      <c r="BY38" s="1056"/>
      <c r="BZ38" s="1056"/>
      <c r="CA38" s="1056"/>
      <c r="CB38" s="1056"/>
      <c r="CC38" s="1056"/>
      <c r="CD38" s="1056"/>
      <c r="CE38" s="1056"/>
      <c r="CF38" s="1056"/>
      <c r="CG38" s="1056"/>
      <c r="CH38" s="1056"/>
      <c r="CI38" s="1056"/>
      <c r="CJ38" s="1056"/>
      <c r="CK38" s="1056"/>
      <c r="CL38" s="1056"/>
      <c r="CM38" s="1056"/>
      <c r="CN38" s="1056"/>
      <c r="CO38" s="1056"/>
      <c r="CP38" s="1056"/>
      <c r="CQ38" s="1056"/>
      <c r="CR38" s="1056"/>
      <c r="CS38" s="1056"/>
      <c r="CT38" s="1056"/>
      <c r="CU38" s="1056"/>
      <c r="CV38" s="1056"/>
      <c r="CW38" s="1056"/>
      <c r="CX38" s="1056"/>
      <c r="CY38" s="1056"/>
      <c r="CZ38" s="1056"/>
      <c r="DA38" s="1056"/>
      <c r="DB38" s="1056"/>
      <c r="DC38" s="1056"/>
      <c r="DD38" s="1056"/>
      <c r="DE38" s="1056"/>
      <c r="DF38" s="1056"/>
      <c r="DG38" s="1056"/>
      <c r="DH38" s="1056"/>
      <c r="DI38" s="1056"/>
      <c r="DJ38" s="1056"/>
      <c r="DK38" s="1056"/>
      <c r="DL38" s="1056"/>
      <c r="DM38" s="1056"/>
      <c r="DN38" s="1056"/>
      <c r="DO38" s="1056"/>
      <c r="DP38" s="1056"/>
      <c r="DQ38" s="1056"/>
      <c r="DR38" s="1056"/>
      <c r="DS38" s="1056"/>
      <c r="DT38" s="1056"/>
      <c r="DU38" s="1056"/>
      <c r="DV38" s="1056"/>
      <c r="DW38" s="1056"/>
      <c r="DX38" s="1056"/>
      <c r="DY38" s="1056"/>
      <c r="DZ38" s="1056"/>
      <c r="EA38" s="1056"/>
      <c r="EB38" s="1056"/>
      <c r="EC38" s="1056"/>
      <c r="ED38" s="1059"/>
      <c r="EE38" s="759"/>
      <c r="EF38" s="11"/>
      <c r="EG38" s="11"/>
      <c r="EH38" s="11"/>
      <c r="EI38" s="11"/>
    </row>
    <row r="39" spans="2:139" ht="25.5" customHeight="1">
      <c r="B39" s="760" t="s">
        <v>120</v>
      </c>
      <c r="D39" s="1101"/>
      <c r="E39" s="1101"/>
      <c r="F39" s="14">
        <f>F16*'Inputs &amp; Assumptions'!$V$44</f>
        <v>6487.7343556333335</v>
      </c>
      <c r="G39" s="14">
        <f>G16*'Inputs &amp; Assumptions'!$V$44</f>
        <v>6487.7343556333335</v>
      </c>
      <c r="H39" s="14">
        <f>H16*'Inputs &amp; Assumptions'!$V$44</f>
        <v>6487.7343556333335</v>
      </c>
      <c r="I39" s="14">
        <f>I16*'Inputs &amp; Assumptions'!$V$44</f>
        <v>6487.7343556333335</v>
      </c>
      <c r="J39" s="14">
        <f>J16*'Inputs &amp; Assumptions'!$V$44</f>
        <v>6487.7343556333335</v>
      </c>
      <c r="K39" s="14">
        <f>K16*'Inputs &amp; Assumptions'!$V$44</f>
        <v>6487.7343556333335</v>
      </c>
      <c r="L39" s="14">
        <f>L16*'Inputs &amp; Assumptions'!$V$44</f>
        <v>6487.7343556333335</v>
      </c>
      <c r="M39" s="14">
        <f>M16*'Inputs &amp; Assumptions'!$V$44</f>
        <v>6487.7343556333335</v>
      </c>
      <c r="N39" s="14">
        <f>N16*'Inputs &amp; Assumptions'!$V$44</f>
        <v>6487.7343556333335</v>
      </c>
      <c r="O39" s="14">
        <f>O16*'Inputs &amp; Assumptions'!$V$44</f>
        <v>6487.7343556333335</v>
      </c>
      <c r="P39" s="14">
        <f>P16*'Inputs &amp; Assumptions'!$V$44</f>
        <v>6487.7343556333335</v>
      </c>
      <c r="Q39" s="14">
        <f>Q16*'Inputs &amp; Assumptions'!$V$44</f>
        <v>6487.7343556333335</v>
      </c>
      <c r="R39" s="14">
        <f>SUM(F39:Q39)</f>
        <v>77852.81226760002</v>
      </c>
      <c r="S39" s="14">
        <f>S16*'Inputs &amp; Assumptions'!$V$44</f>
        <v>7711.1421770556672</v>
      </c>
      <c r="T39" s="14">
        <f>T16*'Inputs &amp; Assumptions'!$V$44</f>
        <v>7711.1421770556672</v>
      </c>
      <c r="U39" s="14">
        <f>U16*'Inputs &amp; Assumptions'!$V$44</f>
        <v>7711.1421770556672</v>
      </c>
      <c r="V39" s="14">
        <f>V16*'Inputs &amp; Assumptions'!$V$44</f>
        <v>7711.1421770556672</v>
      </c>
      <c r="W39" s="14">
        <f>W16*'Inputs &amp; Assumptions'!$V$44</f>
        <v>7711.1421770556672</v>
      </c>
      <c r="X39" s="14">
        <f>X16*'Inputs &amp; Assumptions'!$V$44</f>
        <v>7711.1421770556672</v>
      </c>
      <c r="Y39" s="14">
        <f>Y16*'Inputs &amp; Assumptions'!$V$44</f>
        <v>7711.1421770556672</v>
      </c>
      <c r="Z39" s="14">
        <f>Z16*'Inputs &amp; Assumptions'!$V$44</f>
        <v>7711.1421770556672</v>
      </c>
      <c r="AA39" s="14">
        <f>AA16*'Inputs &amp; Assumptions'!$V$44</f>
        <v>7711.1421770556672</v>
      </c>
      <c r="AB39" s="14">
        <f>AB16*'Inputs &amp; Assumptions'!$V$44</f>
        <v>7711.1421770556672</v>
      </c>
      <c r="AC39" s="14">
        <f>AC16*'Inputs &amp; Assumptions'!$V$44</f>
        <v>7711.1421770556672</v>
      </c>
      <c r="AD39" s="14">
        <f>AD16*'Inputs &amp; Assumptions'!$V$44</f>
        <v>7711.1421770556672</v>
      </c>
      <c r="AE39" s="14">
        <f>SUM(S39:AD39)</f>
        <v>92533.706124667995</v>
      </c>
      <c r="AF39" s="14">
        <f>AF16*'Inputs &amp; Assumptions'!$V$44</f>
        <v>9002.1155068432709</v>
      </c>
      <c r="AG39" s="14">
        <f>AG16*'Inputs &amp; Assumptions'!$V$44</f>
        <v>9002.1155068432709</v>
      </c>
      <c r="AH39" s="14">
        <f>AH16*'Inputs &amp; Assumptions'!$V$44</f>
        <v>9002.1155068432709</v>
      </c>
      <c r="AI39" s="14">
        <f>AI16*'Inputs &amp; Assumptions'!$V$44</f>
        <v>9002.1155068432709</v>
      </c>
      <c r="AJ39" s="14">
        <f>AJ16*'Inputs &amp; Assumptions'!$V$44</f>
        <v>9002.1155068432709</v>
      </c>
      <c r="AK39" s="14">
        <f>AK16*'Inputs &amp; Assumptions'!$V$44</f>
        <v>9002.1155068432709</v>
      </c>
      <c r="AL39" s="14">
        <f>AL16*'Inputs &amp; Assumptions'!$V$44</f>
        <v>9002.1155068432709</v>
      </c>
      <c r="AM39" s="14">
        <f>AM16*'Inputs &amp; Assumptions'!$V$44</f>
        <v>9002.1155068432709</v>
      </c>
      <c r="AN39" s="14">
        <f>AN16*'Inputs &amp; Assumptions'!$V$44</f>
        <v>9002.1155068432709</v>
      </c>
      <c r="AO39" s="14">
        <f>AO16*'Inputs &amp; Assumptions'!$V$44</f>
        <v>9002.1155068432709</v>
      </c>
      <c r="AP39" s="14">
        <f>AP16*'Inputs &amp; Assumptions'!$V$44</f>
        <v>9002.1155068432709</v>
      </c>
      <c r="AQ39" s="14">
        <f>AQ16*'Inputs &amp; Assumptions'!$V$44</f>
        <v>9002.1155068432709</v>
      </c>
      <c r="AR39" s="14">
        <f>SUM(AF39:AQ39)</f>
        <v>108025.38608211925</v>
      </c>
      <c r="AS39" s="14">
        <f>AS16*'Inputs &amp; Assumptions'!$V$44</f>
        <v>9272.1789720485685</v>
      </c>
      <c r="AT39" s="14">
        <f>AT16*'Inputs &amp; Assumptions'!$V$44</f>
        <v>9272.1789720485685</v>
      </c>
      <c r="AU39" s="14">
        <f>AU16*'Inputs &amp; Assumptions'!$V$44</f>
        <v>9272.1789720485685</v>
      </c>
      <c r="AV39" s="14">
        <f>AV16*'Inputs &amp; Assumptions'!$V$44</f>
        <v>9272.1789720485685</v>
      </c>
      <c r="AW39" s="14">
        <f>AW16*'Inputs &amp; Assumptions'!$V$44</f>
        <v>9272.1789720485685</v>
      </c>
      <c r="AX39" s="14">
        <f>AX16*'Inputs &amp; Assumptions'!$V$44</f>
        <v>9272.1789720485685</v>
      </c>
      <c r="AY39" s="14">
        <f>AY16*'Inputs &amp; Assumptions'!$V$44</f>
        <v>9272.1789720485685</v>
      </c>
      <c r="AZ39" s="14">
        <f>AZ16*'Inputs &amp; Assumptions'!$V$44</f>
        <v>9272.1789720485685</v>
      </c>
      <c r="BA39" s="14">
        <f>BA16*'Inputs &amp; Assumptions'!$V$44</f>
        <v>9272.1789720485685</v>
      </c>
      <c r="BB39" s="14">
        <f>BB16*'Inputs &amp; Assumptions'!$V$44</f>
        <v>9272.1789720485685</v>
      </c>
      <c r="BC39" s="14">
        <f>BC16*'Inputs &amp; Assumptions'!$V$44</f>
        <v>9272.1789720485685</v>
      </c>
      <c r="BD39" s="14">
        <f>BD16*'Inputs &amp; Assumptions'!$V$44</f>
        <v>9272.1789720485685</v>
      </c>
      <c r="BE39" s="14">
        <f>SUM(AS39:BD39)</f>
        <v>111266.14766458282</v>
      </c>
      <c r="BF39" s="14">
        <f>BF16*'Inputs &amp; Assumptions'!$V$44</f>
        <v>9550.344341210026</v>
      </c>
      <c r="BG39" s="14">
        <f>BG16*'Inputs &amp; Assumptions'!$V$44</f>
        <v>9550.344341210026</v>
      </c>
      <c r="BH39" s="14">
        <f>BH16*'Inputs &amp; Assumptions'!$V$44</f>
        <v>9550.344341210026</v>
      </c>
      <c r="BI39" s="14">
        <f>BI16*'Inputs &amp; Assumptions'!$V$44</f>
        <v>9550.344341210026</v>
      </c>
      <c r="BJ39" s="14">
        <f>BJ16*'Inputs &amp; Assumptions'!$V$44</f>
        <v>9550.344341210026</v>
      </c>
      <c r="BK39" s="14">
        <f>BK16*'Inputs &amp; Assumptions'!$V$44</f>
        <v>9550.344341210026</v>
      </c>
      <c r="BL39" s="14">
        <f>BL16*'Inputs &amp; Assumptions'!$V$44</f>
        <v>9550.344341210026</v>
      </c>
      <c r="BM39" s="14">
        <f>BM16*'Inputs &amp; Assumptions'!$V$44</f>
        <v>9550.344341210026</v>
      </c>
      <c r="BN39" s="14">
        <f>BN16*'Inputs &amp; Assumptions'!$V$44</f>
        <v>9550.344341210026</v>
      </c>
      <c r="BO39" s="14">
        <f>BO16*'Inputs &amp; Assumptions'!$V$44</f>
        <v>9550.344341210026</v>
      </c>
      <c r="BP39" s="14">
        <f>BP16*'Inputs &amp; Assumptions'!$V$44</f>
        <v>9550.344341210026</v>
      </c>
      <c r="BQ39" s="14">
        <f>BQ16*'Inputs &amp; Assumptions'!$V$44</f>
        <v>9550.344341210026</v>
      </c>
      <c r="BR39" s="14">
        <f>SUM(BF39:BQ39)</f>
        <v>114604.13209452033</v>
      </c>
      <c r="BS39" s="14">
        <f>BS16*'Inputs &amp; Assumptions'!$V$44</f>
        <v>9836.8546714463264</v>
      </c>
      <c r="BT39" s="14">
        <f>BT16*'Inputs &amp; Assumptions'!$V$44</f>
        <v>9836.8546714463264</v>
      </c>
      <c r="BU39" s="14">
        <f>BU16*'Inputs &amp; Assumptions'!$V$44</f>
        <v>9836.8546714463264</v>
      </c>
      <c r="BV39" s="14">
        <f>BV16*'Inputs &amp; Assumptions'!$V$44</f>
        <v>9836.8546714463264</v>
      </c>
      <c r="BW39" s="14">
        <f>BW16*'Inputs &amp; Assumptions'!$V$44</f>
        <v>9836.8546714463264</v>
      </c>
      <c r="BX39" s="14">
        <f>BX16*'Inputs &amp; Assumptions'!$V$44</f>
        <v>9836.8546714463264</v>
      </c>
      <c r="BY39" s="14">
        <f>BY16*'Inputs &amp; Assumptions'!$V$44</f>
        <v>9836.8546714463264</v>
      </c>
      <c r="BZ39" s="14">
        <f>BZ16*'Inputs &amp; Assumptions'!$V$44</f>
        <v>9836.8546714463264</v>
      </c>
      <c r="CA39" s="14">
        <f>CA16*'Inputs &amp; Assumptions'!$V$44</f>
        <v>9836.8546714463264</v>
      </c>
      <c r="CB39" s="14">
        <f>CB16*'Inputs &amp; Assumptions'!$V$44</f>
        <v>9836.8546714463264</v>
      </c>
      <c r="CC39" s="14">
        <f>CC16*'Inputs &amp; Assumptions'!$V$44</f>
        <v>9836.8546714463264</v>
      </c>
      <c r="CD39" s="14">
        <f>CD16*'Inputs &amp; Assumptions'!$V$44</f>
        <v>9836.8546714463264</v>
      </c>
      <c r="CE39" s="14">
        <f>SUM(BS39:CD39)</f>
        <v>118042.25605735595</v>
      </c>
      <c r="CF39" s="14">
        <f>CF16*'Inputs &amp; Assumptions'!$V$44</f>
        <v>10131.960311589717</v>
      </c>
      <c r="CG39" s="14">
        <f>CG16*'Inputs &amp; Assumptions'!$V$44</f>
        <v>10131.960311589717</v>
      </c>
      <c r="CH39" s="14">
        <f>CH16*'Inputs &amp; Assumptions'!$V$44</f>
        <v>10131.960311589717</v>
      </c>
      <c r="CI39" s="14">
        <f>CI16*'Inputs &amp; Assumptions'!$V$44</f>
        <v>10131.960311589717</v>
      </c>
      <c r="CJ39" s="14">
        <f>CJ16*'Inputs &amp; Assumptions'!$V$44</f>
        <v>10131.960311589717</v>
      </c>
      <c r="CK39" s="14">
        <f>CK16*'Inputs &amp; Assumptions'!$V$44</f>
        <v>10131.960311589717</v>
      </c>
      <c r="CL39" s="14">
        <f>CL16*'Inputs &amp; Assumptions'!$V$44</f>
        <v>10131.960311589717</v>
      </c>
      <c r="CM39" s="14">
        <f>CM16*'Inputs &amp; Assumptions'!$V$44</f>
        <v>10131.960311589717</v>
      </c>
      <c r="CN39" s="14">
        <f>CN16*'Inputs &amp; Assumptions'!$V$44</f>
        <v>10131.960311589717</v>
      </c>
      <c r="CO39" s="14">
        <f>CO16*'Inputs &amp; Assumptions'!$V$44</f>
        <v>10131.960311589717</v>
      </c>
      <c r="CP39" s="14">
        <f>CP16*'Inputs &amp; Assumptions'!$V$44</f>
        <v>10131.960311589717</v>
      </c>
      <c r="CQ39" s="14">
        <f>CQ16*'Inputs &amp; Assumptions'!$V$44</f>
        <v>10131.960311589717</v>
      </c>
      <c r="CR39" s="14">
        <f>SUM(CF39:CQ39)</f>
        <v>121583.52373907661</v>
      </c>
      <c r="CS39" s="14">
        <f>CS16*'Inputs &amp; Assumptions'!$V$44</f>
        <v>10435.919120937409</v>
      </c>
      <c r="CT39" s="14">
        <f>CT16*'Inputs &amp; Assumptions'!$V$44</f>
        <v>10435.919120937409</v>
      </c>
      <c r="CU39" s="14">
        <f>CU16*'Inputs &amp; Assumptions'!$V$44</f>
        <v>10435.919120937409</v>
      </c>
      <c r="CV39" s="14">
        <f>CV16*'Inputs &amp; Assumptions'!$V$44</f>
        <v>10435.919120937409</v>
      </c>
      <c r="CW39" s="14">
        <f>CW16*'Inputs &amp; Assumptions'!$V$44</f>
        <v>10435.919120937409</v>
      </c>
      <c r="CX39" s="14">
        <f>CX16*'Inputs &amp; Assumptions'!$V$44</f>
        <v>10435.919120937409</v>
      </c>
      <c r="CY39" s="14">
        <f>CY16*'Inputs &amp; Assumptions'!$V$44</f>
        <v>10435.919120937409</v>
      </c>
      <c r="CZ39" s="14">
        <f>CZ16*'Inputs &amp; Assumptions'!$V$44</f>
        <v>10435.919120937409</v>
      </c>
      <c r="DA39" s="14">
        <f>DA16*'Inputs &amp; Assumptions'!$V$44</f>
        <v>10435.919120937409</v>
      </c>
      <c r="DB39" s="14">
        <f>DB16*'Inputs &amp; Assumptions'!$V$44</f>
        <v>10435.919120937409</v>
      </c>
      <c r="DC39" s="14">
        <f>DC16*'Inputs &amp; Assumptions'!$V$44</f>
        <v>10435.919120937409</v>
      </c>
      <c r="DD39" s="14">
        <f>DD16*'Inputs &amp; Assumptions'!$V$44</f>
        <v>10435.919120937409</v>
      </c>
      <c r="DE39" s="14">
        <f>SUM(CS39:DD39)</f>
        <v>125231.02945124892</v>
      </c>
      <c r="DF39" s="14">
        <f>DF16*'Inputs &amp; Assumptions'!$V$44</f>
        <v>10748.996694565527</v>
      </c>
      <c r="DG39" s="14">
        <f>DG16*'Inputs &amp; Assumptions'!$V$44</f>
        <v>10748.996694565527</v>
      </c>
      <c r="DH39" s="14">
        <f>DH16*'Inputs &amp; Assumptions'!$V$44</f>
        <v>10748.996694565527</v>
      </c>
      <c r="DI39" s="14">
        <f>DI16*'Inputs &amp; Assumptions'!$V$44</f>
        <v>10748.996694565527</v>
      </c>
      <c r="DJ39" s="14">
        <f>DJ16*'Inputs &amp; Assumptions'!$V$44</f>
        <v>10748.996694565527</v>
      </c>
      <c r="DK39" s="14">
        <f>DK16*'Inputs &amp; Assumptions'!$V$44</f>
        <v>10748.996694565527</v>
      </c>
      <c r="DL39" s="14">
        <f>DL16*'Inputs &amp; Assumptions'!$V$44</f>
        <v>10748.996694565527</v>
      </c>
      <c r="DM39" s="14">
        <f>DM16*'Inputs &amp; Assumptions'!$V$44</f>
        <v>10748.996694565527</v>
      </c>
      <c r="DN39" s="14">
        <f>DN16*'Inputs &amp; Assumptions'!$V$44</f>
        <v>10748.996694565527</v>
      </c>
      <c r="DO39" s="14">
        <f>DO16*'Inputs &amp; Assumptions'!$V$44</f>
        <v>10748.996694565527</v>
      </c>
      <c r="DP39" s="14">
        <f>DP16*'Inputs &amp; Assumptions'!$V$44</f>
        <v>10748.996694565527</v>
      </c>
      <c r="DQ39" s="14">
        <f>DQ16*'Inputs &amp; Assumptions'!$V$44</f>
        <v>10748.996694565527</v>
      </c>
      <c r="DR39" s="14">
        <f>SUM(DF39:DQ39)</f>
        <v>128987.96033478634</v>
      </c>
      <c r="DS39" s="14">
        <f>DS16*'Inputs &amp; Assumptions'!$V$44</f>
        <v>11071.466595402497</v>
      </c>
      <c r="DT39" s="14">
        <f>DT16*'Inputs &amp; Assumptions'!$V$44</f>
        <v>11071.466595402497</v>
      </c>
      <c r="DU39" s="14">
        <f>DU16*'Inputs &amp; Assumptions'!$V$44</f>
        <v>11071.466595402497</v>
      </c>
      <c r="DV39" s="14">
        <f>DV16*'Inputs &amp; Assumptions'!$V$44</f>
        <v>11071.466595402497</v>
      </c>
      <c r="DW39" s="14">
        <f>DW16*'Inputs &amp; Assumptions'!$V$44</f>
        <v>11071.466595402497</v>
      </c>
      <c r="DX39" s="14">
        <f>DX16*'Inputs &amp; Assumptions'!$V$44</f>
        <v>11071.466595402497</v>
      </c>
      <c r="DY39" s="14">
        <f>DY16*'Inputs &amp; Assumptions'!$V$44</f>
        <v>11071.466595402497</v>
      </c>
      <c r="DZ39" s="14">
        <f>DZ16*'Inputs &amp; Assumptions'!$V$44</f>
        <v>11071.466595402497</v>
      </c>
      <c r="EA39" s="14">
        <f>EA16*'Inputs &amp; Assumptions'!$V$44</f>
        <v>11071.466595402497</v>
      </c>
      <c r="EB39" s="14">
        <f>EB16*'Inputs &amp; Assumptions'!$V$44</f>
        <v>11071.466595402497</v>
      </c>
      <c r="EC39" s="14">
        <f>EC16*'Inputs &amp; Assumptions'!$V$44</f>
        <v>11071.466595402497</v>
      </c>
      <c r="ED39" s="14">
        <f>ED16*'Inputs &amp; Assumptions'!$V$44</f>
        <v>11071.466595402497</v>
      </c>
      <c r="EE39" s="761">
        <f>SUM(DS39:ED39)</f>
        <v>132857.59914482996</v>
      </c>
      <c r="EF39" s="11"/>
      <c r="EG39" s="11"/>
      <c r="EH39" s="11"/>
      <c r="EI39" s="11"/>
    </row>
    <row r="40" spans="2:139">
      <c r="B40" s="762" t="s">
        <v>308</v>
      </c>
      <c r="C40" s="1102"/>
      <c r="D40" s="1102"/>
      <c r="E40" s="1103"/>
      <c r="F40" s="1103"/>
      <c r="G40" s="1104"/>
      <c r="H40" s="1104"/>
      <c r="I40" s="1104"/>
      <c r="J40" s="1104"/>
      <c r="K40" s="1104"/>
      <c r="L40" s="1103"/>
      <c r="M40" s="1103"/>
      <c r="N40" s="1103"/>
      <c r="O40" s="1103"/>
      <c r="P40" s="1103"/>
      <c r="Q40" s="1103"/>
      <c r="R40" s="1103"/>
      <c r="S40" s="1103"/>
      <c r="T40" s="1103"/>
      <c r="U40" s="1103"/>
      <c r="V40" s="1103"/>
      <c r="W40" s="1103"/>
      <c r="X40" s="1103"/>
      <c r="Y40" s="1103"/>
      <c r="Z40" s="1103"/>
      <c r="AA40" s="1103"/>
      <c r="AB40" s="1103"/>
      <c r="AC40" s="1103"/>
      <c r="AD40" s="1103"/>
      <c r="AE40" s="1103"/>
      <c r="AF40" s="1103"/>
      <c r="AG40" s="1103"/>
      <c r="AH40" s="1103"/>
      <c r="AI40" s="1103"/>
      <c r="AJ40" s="1103"/>
      <c r="AK40" s="1103"/>
      <c r="AL40" s="1103"/>
      <c r="AM40" s="1103"/>
      <c r="AN40" s="1103"/>
      <c r="AO40" s="1103"/>
      <c r="AP40" s="1103"/>
      <c r="AQ40" s="1103"/>
      <c r="AR40" s="1103"/>
      <c r="AS40" s="1103"/>
      <c r="AT40" s="1103"/>
      <c r="AU40" s="1103"/>
      <c r="AV40" s="1103"/>
      <c r="AW40" s="1103"/>
      <c r="AX40" s="1103"/>
      <c r="AY40" s="1103"/>
      <c r="AZ40" s="1103"/>
      <c r="BA40" s="1103"/>
      <c r="BB40" s="1103"/>
      <c r="BC40" s="1103"/>
      <c r="BD40" s="1103"/>
      <c r="BE40" s="1103"/>
      <c r="BF40" s="1103"/>
      <c r="BG40" s="1103"/>
      <c r="BH40" s="1103"/>
      <c r="BI40" s="1103"/>
      <c r="BJ40" s="1103"/>
      <c r="BK40" s="1103"/>
      <c r="BL40" s="1103"/>
      <c r="BM40" s="1103"/>
      <c r="BN40" s="1103"/>
      <c r="BO40" s="1103"/>
      <c r="BP40" s="1103"/>
      <c r="BQ40" s="1103"/>
      <c r="BR40" s="1103"/>
      <c r="BS40" s="1103"/>
      <c r="BT40" s="1103"/>
      <c r="BU40" s="1103"/>
      <c r="BV40" s="1103"/>
      <c r="BW40" s="1103"/>
      <c r="BX40" s="1103"/>
      <c r="BY40" s="1103"/>
      <c r="BZ40" s="1103"/>
      <c r="CA40" s="1103"/>
      <c r="CB40" s="1103"/>
      <c r="CC40" s="1103"/>
      <c r="CD40" s="1103"/>
      <c r="CE40" s="1103"/>
      <c r="CF40" s="1103"/>
      <c r="CG40" s="1103"/>
      <c r="CH40" s="1103"/>
      <c r="CI40" s="1103"/>
      <c r="CJ40" s="1103"/>
      <c r="CK40" s="1103"/>
      <c r="CL40" s="1103"/>
      <c r="CM40" s="1103"/>
      <c r="CN40" s="1103"/>
      <c r="CO40" s="1103"/>
      <c r="CP40" s="1103"/>
      <c r="CQ40" s="1103"/>
      <c r="CR40" s="1103"/>
      <c r="CS40" s="1103"/>
      <c r="CT40" s="1103"/>
      <c r="CU40" s="1103"/>
      <c r="CV40" s="1103"/>
      <c r="CW40" s="1103"/>
      <c r="CX40" s="1103"/>
      <c r="CY40" s="1103"/>
      <c r="CZ40" s="1103"/>
      <c r="DA40" s="1103"/>
      <c r="DB40" s="1103"/>
      <c r="DC40" s="1103"/>
      <c r="DD40" s="1103"/>
      <c r="DE40" s="1103"/>
      <c r="DF40" s="1103"/>
      <c r="DG40" s="1103"/>
      <c r="DH40" s="1103"/>
      <c r="DI40" s="1103"/>
      <c r="DJ40" s="1103"/>
      <c r="DK40" s="1103"/>
      <c r="DL40" s="1103"/>
      <c r="DM40" s="1103"/>
      <c r="DN40" s="1103"/>
      <c r="DO40" s="1103"/>
      <c r="DP40" s="1103"/>
      <c r="DQ40" s="1103"/>
      <c r="DR40" s="1103"/>
      <c r="DS40" s="1103"/>
      <c r="DT40" s="1103"/>
      <c r="DU40" s="1103"/>
      <c r="DV40" s="1103"/>
      <c r="DW40" s="1103"/>
      <c r="DX40" s="1103"/>
      <c r="DY40" s="1103"/>
      <c r="DZ40" s="1103"/>
      <c r="EA40" s="1103"/>
      <c r="EB40" s="1103"/>
      <c r="EC40" s="1103"/>
      <c r="ED40" s="1103"/>
      <c r="EE40" s="763"/>
      <c r="EF40" s="11"/>
      <c r="EG40" s="11"/>
      <c r="EH40" s="11"/>
      <c r="EI40" s="11"/>
    </row>
    <row r="41" spans="2:139">
      <c r="B41" s="760" t="s">
        <v>309</v>
      </c>
      <c r="C41" s="1101"/>
      <c r="D41" s="1101"/>
      <c r="E41" s="1101"/>
      <c r="F41" s="14"/>
      <c r="G41" s="1105"/>
      <c r="H41" s="1105"/>
      <c r="I41" s="1105"/>
      <c r="J41" s="1105"/>
      <c r="K41" s="1105"/>
      <c r="L41" s="6"/>
      <c r="ED41" s="11"/>
      <c r="EE41" s="764"/>
      <c r="EF41" s="11"/>
      <c r="EG41" s="11"/>
      <c r="EH41" s="11"/>
      <c r="EI41" s="11"/>
    </row>
    <row r="42" spans="2:139">
      <c r="B42" s="161"/>
      <c r="C42" t="s">
        <v>123</v>
      </c>
      <c r="F42" s="36">
        <f>IFERROR(F36/F45,0)</f>
        <v>1.6508447130635986</v>
      </c>
      <c r="G42" s="36">
        <f t="shared" ref="G42:Q42" si="364">IFERROR(G36/G45,0)</f>
        <v>1.6508447130635986</v>
      </c>
      <c r="H42" s="36">
        <f t="shared" si="364"/>
        <v>1.6508447130635986</v>
      </c>
      <c r="I42" s="36">
        <f t="shared" si="364"/>
        <v>1.6508447130635986</v>
      </c>
      <c r="J42" s="36">
        <f t="shared" si="364"/>
        <v>1.6508447130635986</v>
      </c>
      <c r="K42" s="36">
        <f t="shared" si="364"/>
        <v>1.6508447130635986</v>
      </c>
      <c r="L42" s="36">
        <f>IFERROR(L36/L45,0)</f>
        <v>1.6508447130635986</v>
      </c>
      <c r="M42" s="36">
        <f t="shared" si="364"/>
        <v>1.6508447130635986</v>
      </c>
      <c r="N42" s="36">
        <f t="shared" si="364"/>
        <v>1.6508447130635986</v>
      </c>
      <c r="O42" s="36">
        <f t="shared" si="364"/>
        <v>1.6508447130635986</v>
      </c>
      <c r="P42" s="36">
        <f t="shared" si="364"/>
        <v>1.6508447130635986</v>
      </c>
      <c r="Q42" s="36">
        <f t="shared" si="364"/>
        <v>1.6508447130635986</v>
      </c>
      <c r="R42" s="36">
        <f t="shared" ref="R42:AV42" si="365">IFERROR(R36/(R45+R50),0)</f>
        <v>1.6508447130635986</v>
      </c>
      <c r="S42" s="36">
        <f t="shared" si="365"/>
        <v>2.1250760647909228</v>
      </c>
      <c r="T42" s="36">
        <f t="shared" si="365"/>
        <v>2.1250760647909228</v>
      </c>
      <c r="U42" s="36">
        <f t="shared" si="365"/>
        <v>2.1250760647909228</v>
      </c>
      <c r="V42" s="36">
        <f t="shared" si="365"/>
        <v>2.1250760647909228</v>
      </c>
      <c r="W42" s="36">
        <f t="shared" si="365"/>
        <v>2.1250760647909228</v>
      </c>
      <c r="X42" s="36">
        <f t="shared" si="365"/>
        <v>2.1250760647909228</v>
      </c>
      <c r="Y42" s="36">
        <f t="shared" si="365"/>
        <v>2.1250760647909228</v>
      </c>
      <c r="Z42" s="36">
        <f t="shared" si="365"/>
        <v>2.1250760647909228</v>
      </c>
      <c r="AA42" s="36">
        <f t="shared" si="365"/>
        <v>2.1250760647909228</v>
      </c>
      <c r="AB42" s="36">
        <f t="shared" si="365"/>
        <v>2.1250760647909228</v>
      </c>
      <c r="AC42" s="36">
        <f t="shared" si="365"/>
        <v>2.1250760647909228</v>
      </c>
      <c r="AD42" s="36">
        <f t="shared" si="365"/>
        <v>2.1250760647909228</v>
      </c>
      <c r="AE42" s="36">
        <f>IFERROR(AE36/(AE45+AE50),0)</f>
        <v>2.1250760647909228</v>
      </c>
      <c r="AF42" s="36">
        <f t="shared" si="365"/>
        <v>2.6576708482852762</v>
      </c>
      <c r="AG42" s="36">
        <f t="shared" si="365"/>
        <v>2.6576708482852762</v>
      </c>
      <c r="AH42" s="36">
        <f t="shared" si="365"/>
        <v>2.6576708482852762</v>
      </c>
      <c r="AI42" s="36">
        <f t="shared" si="365"/>
        <v>2.6576708482852762</v>
      </c>
      <c r="AJ42" s="36">
        <f t="shared" si="365"/>
        <v>2.6576708482852762</v>
      </c>
      <c r="AK42" s="36">
        <f t="shared" si="365"/>
        <v>2.6576708482852762</v>
      </c>
      <c r="AL42" s="36">
        <f t="shared" si="365"/>
        <v>2.6576708482852762</v>
      </c>
      <c r="AM42" s="36">
        <f t="shared" si="365"/>
        <v>2.6576708482852762</v>
      </c>
      <c r="AN42" s="36">
        <f t="shared" si="365"/>
        <v>2.6576708482852762</v>
      </c>
      <c r="AO42" s="36">
        <f t="shared" si="365"/>
        <v>2.6576708482852762</v>
      </c>
      <c r="AP42" s="36">
        <f t="shared" si="365"/>
        <v>2.6576708482852762</v>
      </c>
      <c r="AQ42" s="36">
        <f t="shared" si="365"/>
        <v>2.6576708482852762</v>
      </c>
      <c r="AR42" s="36">
        <f>IFERROR(AR36/(AR45+AR50),0)</f>
        <v>2.6576708482852758</v>
      </c>
      <c r="AS42" s="36">
        <f t="shared" si="365"/>
        <v>1.5846153846153852</v>
      </c>
      <c r="AT42" s="36">
        <f t="shared" si="365"/>
        <v>1.5846153846153852</v>
      </c>
      <c r="AU42" s="36">
        <f t="shared" si="365"/>
        <v>1.5846153846153852</v>
      </c>
      <c r="AV42" s="36">
        <f t="shared" si="365"/>
        <v>1.5846153846153852</v>
      </c>
      <c r="AW42" s="36">
        <f t="shared" ref="AW42:CB42" si="366">IFERROR(AW36/(AW45+AW50),0)</f>
        <v>1.5846153846153852</v>
      </c>
      <c r="AX42" s="36">
        <f t="shared" si="366"/>
        <v>1.5846153846153852</v>
      </c>
      <c r="AY42" s="36">
        <f t="shared" si="366"/>
        <v>1.5846153846153852</v>
      </c>
      <c r="AZ42" s="36">
        <f t="shared" si="366"/>
        <v>1.5846153846153852</v>
      </c>
      <c r="BA42" s="36">
        <f t="shared" si="366"/>
        <v>1.5846153846153852</v>
      </c>
      <c r="BB42" s="36">
        <f t="shared" si="366"/>
        <v>1.5846153846153852</v>
      </c>
      <c r="BC42" s="36">
        <f t="shared" si="366"/>
        <v>1.5846153846153852</v>
      </c>
      <c r="BD42" s="36">
        <f t="shared" si="366"/>
        <v>1.5846153846153852</v>
      </c>
      <c r="BE42" s="36">
        <f>IFERROR(BE36/(BE45+CE50),0)</f>
        <v>1.3215027909546568</v>
      </c>
      <c r="BF42" s="36">
        <f t="shared" si="366"/>
        <v>1.6321538461538467</v>
      </c>
      <c r="BG42" s="36">
        <f t="shared" si="366"/>
        <v>1.6321538461538467</v>
      </c>
      <c r="BH42" s="36">
        <f t="shared" si="366"/>
        <v>1.6321538461538467</v>
      </c>
      <c r="BI42" s="36">
        <f t="shared" si="366"/>
        <v>1.6321538461538467</v>
      </c>
      <c r="BJ42" s="36">
        <f t="shared" si="366"/>
        <v>1.6321538461538467</v>
      </c>
      <c r="BK42" s="36">
        <f t="shared" si="366"/>
        <v>1.6321538461538467</v>
      </c>
      <c r="BL42" s="36">
        <f t="shared" si="366"/>
        <v>1.6321538461538467</v>
      </c>
      <c r="BM42" s="36">
        <f t="shared" si="366"/>
        <v>1.6321538461538467</v>
      </c>
      <c r="BN42" s="36">
        <f t="shared" si="366"/>
        <v>1.6321538461538467</v>
      </c>
      <c r="BO42" s="36">
        <f t="shared" si="366"/>
        <v>1.6321538461538467</v>
      </c>
      <c r="BP42" s="36">
        <f t="shared" si="366"/>
        <v>1.6321538461538467</v>
      </c>
      <c r="BQ42" s="36">
        <f t="shared" si="366"/>
        <v>1.6321538461538467</v>
      </c>
      <c r="BR42" s="36">
        <f>IFERROR(BR36/(BR45+CE50),0)</f>
        <v>1.3611478746832968</v>
      </c>
      <c r="BS42" s="36">
        <f t="shared" si="366"/>
        <v>1.4019823109237954</v>
      </c>
      <c r="BT42" s="36">
        <f t="shared" si="366"/>
        <v>1.4019823109237954</v>
      </c>
      <c r="BU42" s="36">
        <f t="shared" si="366"/>
        <v>1.4019823109237954</v>
      </c>
      <c r="BV42" s="36">
        <f t="shared" si="366"/>
        <v>1.4019823109237954</v>
      </c>
      <c r="BW42" s="36">
        <f t="shared" si="366"/>
        <v>1.4019823109237954</v>
      </c>
      <c r="BX42" s="36">
        <f t="shared" si="366"/>
        <v>1.4019823109237954</v>
      </c>
      <c r="BY42" s="36">
        <f t="shared" si="366"/>
        <v>1.4019823109237954</v>
      </c>
      <c r="BZ42" s="36">
        <f t="shared" si="366"/>
        <v>1.4019823109237954</v>
      </c>
      <c r="CA42" s="36">
        <f t="shared" si="366"/>
        <v>1.4019823109237954</v>
      </c>
      <c r="CB42" s="36">
        <f t="shared" si="366"/>
        <v>1.4019823109237954</v>
      </c>
      <c r="CC42" s="36">
        <f t="shared" ref="CC42:DH42" si="367">IFERROR(CC36/(CC45+CC50),0)</f>
        <v>1.4019823109237954</v>
      </c>
      <c r="CD42" s="36">
        <f t="shared" si="367"/>
        <v>1.4019823109237954</v>
      </c>
      <c r="CE42" s="36">
        <f t="shared" si="367"/>
        <v>1.4019823109237959</v>
      </c>
      <c r="CF42" s="36">
        <f t="shared" si="367"/>
        <v>1.4440417802515095</v>
      </c>
      <c r="CG42" s="36">
        <f t="shared" si="367"/>
        <v>1.4440417802515095</v>
      </c>
      <c r="CH42" s="36">
        <f t="shared" si="367"/>
        <v>1.4440417802515095</v>
      </c>
      <c r="CI42" s="36">
        <f t="shared" si="367"/>
        <v>1.4440417802515095</v>
      </c>
      <c r="CJ42" s="36">
        <f t="shared" si="367"/>
        <v>1.4440417802515095</v>
      </c>
      <c r="CK42" s="36">
        <f t="shared" si="367"/>
        <v>1.4440417802515095</v>
      </c>
      <c r="CL42" s="36">
        <f t="shared" si="367"/>
        <v>1.4440417802515095</v>
      </c>
      <c r="CM42" s="36">
        <f t="shared" si="367"/>
        <v>1.4440417802515095</v>
      </c>
      <c r="CN42" s="36">
        <f t="shared" si="367"/>
        <v>1.4440417802515095</v>
      </c>
      <c r="CO42" s="36">
        <f t="shared" si="367"/>
        <v>1.4440417802515095</v>
      </c>
      <c r="CP42" s="36">
        <f t="shared" si="367"/>
        <v>1.4440417802515095</v>
      </c>
      <c r="CQ42" s="36">
        <f t="shared" si="367"/>
        <v>1.4440417802515095</v>
      </c>
      <c r="CR42" s="36">
        <f t="shared" si="367"/>
        <v>1.44404178025151</v>
      </c>
      <c r="CS42" s="36">
        <f t="shared" si="367"/>
        <v>1.4873630336590553</v>
      </c>
      <c r="CT42" s="36">
        <f t="shared" si="367"/>
        <v>1.4873630336590553</v>
      </c>
      <c r="CU42" s="36">
        <f t="shared" si="367"/>
        <v>1.4873630336590553</v>
      </c>
      <c r="CV42" s="36">
        <f t="shared" si="367"/>
        <v>1.4873630336590553</v>
      </c>
      <c r="CW42" s="36">
        <f t="shared" si="367"/>
        <v>1.4873630336590553</v>
      </c>
      <c r="CX42" s="36">
        <f t="shared" si="367"/>
        <v>1.4873630336590553</v>
      </c>
      <c r="CY42" s="36">
        <f t="shared" si="367"/>
        <v>1.4873630336590553</v>
      </c>
      <c r="CZ42" s="36">
        <f t="shared" si="367"/>
        <v>1.4873630336590553</v>
      </c>
      <c r="DA42" s="36">
        <f t="shared" si="367"/>
        <v>1.4873630336590553</v>
      </c>
      <c r="DB42" s="36">
        <f t="shared" si="367"/>
        <v>1.4873630336590553</v>
      </c>
      <c r="DC42" s="36">
        <f t="shared" si="367"/>
        <v>1.4873630336590553</v>
      </c>
      <c r="DD42" s="36">
        <f t="shared" si="367"/>
        <v>1.4873630336590553</v>
      </c>
      <c r="DE42" s="36">
        <f t="shared" si="367"/>
        <v>1.4873630336590553</v>
      </c>
      <c r="DF42" s="36">
        <f t="shared" si="367"/>
        <v>1.5319839246688258</v>
      </c>
      <c r="DG42" s="36">
        <f t="shared" si="367"/>
        <v>1.5319839246688258</v>
      </c>
      <c r="DH42" s="36">
        <f t="shared" si="367"/>
        <v>1.5319839246688258</v>
      </c>
      <c r="DI42" s="36">
        <f t="shared" ref="DI42:EE42" si="368">IFERROR(DI36/(DI45+DI50),0)</f>
        <v>1.5319839246688258</v>
      </c>
      <c r="DJ42" s="36">
        <f t="shared" si="368"/>
        <v>1.5319839246688258</v>
      </c>
      <c r="DK42" s="36">
        <f t="shared" si="368"/>
        <v>1.5319839246688258</v>
      </c>
      <c r="DL42" s="36">
        <f t="shared" si="368"/>
        <v>1.5319839246688258</v>
      </c>
      <c r="DM42" s="36">
        <f t="shared" si="368"/>
        <v>1.5319839246688258</v>
      </c>
      <c r="DN42" s="36">
        <f t="shared" si="368"/>
        <v>1.5319839246688258</v>
      </c>
      <c r="DO42" s="36">
        <f t="shared" si="368"/>
        <v>1.5319839246688258</v>
      </c>
      <c r="DP42" s="36">
        <f t="shared" si="368"/>
        <v>1.5319839246688258</v>
      </c>
      <c r="DQ42" s="36">
        <f t="shared" si="368"/>
        <v>1.5319839246688258</v>
      </c>
      <c r="DR42" s="36">
        <f t="shared" si="368"/>
        <v>1.531983924668826</v>
      </c>
      <c r="DS42" s="36">
        <f t="shared" si="368"/>
        <v>1.5779434424088916</v>
      </c>
      <c r="DT42" s="36">
        <f t="shared" si="368"/>
        <v>1.5779434424088916</v>
      </c>
      <c r="DU42" s="36">
        <f t="shared" si="368"/>
        <v>1.5779434424088916</v>
      </c>
      <c r="DV42" s="36">
        <f t="shared" si="368"/>
        <v>1.5779434424088916</v>
      </c>
      <c r="DW42" s="36">
        <f t="shared" si="368"/>
        <v>1.5779434424088916</v>
      </c>
      <c r="DX42" s="36">
        <f t="shared" si="368"/>
        <v>1.5779434424088916</v>
      </c>
      <c r="DY42" s="36">
        <f t="shared" si="368"/>
        <v>1.5779434424088916</v>
      </c>
      <c r="DZ42" s="36">
        <f t="shared" si="368"/>
        <v>1.5779434424088916</v>
      </c>
      <c r="EA42" s="36">
        <f t="shared" si="368"/>
        <v>1.5779434424088916</v>
      </c>
      <c r="EB42" s="36">
        <f t="shared" si="368"/>
        <v>1.5779434424088916</v>
      </c>
      <c r="EC42" s="36">
        <f t="shared" si="368"/>
        <v>1.5779434424088916</v>
      </c>
      <c r="ED42" s="36">
        <f t="shared" si="368"/>
        <v>1.5779434424088916</v>
      </c>
      <c r="EE42" s="765">
        <f t="shared" si="368"/>
        <v>1.5779434424088914</v>
      </c>
      <c r="EF42" s="11"/>
      <c r="EG42" s="11"/>
      <c r="EH42" s="11"/>
      <c r="EI42" s="11"/>
    </row>
    <row r="43" spans="2:139">
      <c r="B43" s="187"/>
      <c r="C43" s="1056" t="s">
        <v>310</v>
      </c>
      <c r="D43" s="1056"/>
      <c r="E43" s="1056"/>
      <c r="F43" s="156">
        <f>IF(F46=0,0,VLOOKUP('Pro Forma'!F4,Amortization!$B$13:$E$372,2,FALSE))</f>
        <v>75530.000000000015</v>
      </c>
      <c r="G43" s="156">
        <f>IF(G46=0,0,VLOOKUP('Pro Forma'!G4,Amortization!$B$13:$E$372,2,FALSE))</f>
        <v>75419.221505293681</v>
      </c>
      <c r="H43" s="156">
        <f>IF(H46=0,0,VLOOKUP('Pro Forma'!H4,Amortization!$B$13:$E$372,2,FALSE))</f>
        <v>75308.082980479536</v>
      </c>
      <c r="I43" s="156">
        <f>IF(I46=0,0,VLOOKUP('Pro Forma'!I4,Amortization!$B$13:$E$372,2,FALSE))</f>
        <v>75196.583255459758</v>
      </c>
      <c r="J43" s="156">
        <f>IF(J46=0,0,VLOOKUP('Pro Forma'!J4,Amortization!$B$13:$E$372,2,FALSE))</f>
        <v>75084.72115633366</v>
      </c>
      <c r="K43" s="156">
        <f>IF(K46=0,0,VLOOKUP('Pro Forma'!K4,Amortization!$B$13:$E$372,2,FALSE))</f>
        <v>74972.495505385406</v>
      </c>
      <c r="L43" s="156">
        <f>IF(L46=0,0,VLOOKUP('Pro Forma'!L4,Amortization!$B$13:$E$372,2,FALSE))</f>
        <v>74859.90512107157</v>
      </c>
      <c r="M43" s="156">
        <f>IF(M46=0,0,VLOOKUP('Pro Forma'!M4,Amortization!$B$13:$E$372,2,FALSE))</f>
        <v>74746.948818008721</v>
      </c>
      <c r="N43" s="156">
        <f>IF(N46=0,0,VLOOKUP('Pro Forma'!N4,Amortization!$B$13:$E$372,2,FALSE))</f>
        <v>74633.625406960899</v>
      </c>
      <c r="O43" s="156">
        <f>IF(O46=0,0,VLOOKUP('Pro Forma'!O4,Amortization!$B$13:$E$372,2,FALSE))</f>
        <v>74519.933694827181</v>
      </c>
      <c r="P43" s="156">
        <f>IF(P46=0,0,VLOOKUP('Pro Forma'!P4,Amortization!$B$13:$E$372,2,FALSE))</f>
        <v>74405.872484629028</v>
      </c>
      <c r="Q43" s="156">
        <f>IF(Q46=0,0,VLOOKUP('Pro Forma'!Q4,Amortization!$B$13:$E$372,2,FALSE))</f>
        <v>74291.440575497734</v>
      </c>
      <c r="R43" s="156">
        <f>SUM(F43:Q43)</f>
        <v>898968.8305039471</v>
      </c>
      <c r="S43" s="156">
        <f>IF(S46=0,0,VLOOKUP('Pro Forma'!S4,Amortization!$B$13:$E$372,2,FALSE))</f>
        <v>74176.636762661758</v>
      </c>
      <c r="T43" s="156">
        <f>IF(T46=0,0,VLOOKUP('Pro Forma'!T4,Amortization!$B$13:$E$372,2,FALSE))</f>
        <v>74061.459837434071</v>
      </c>
      <c r="U43" s="156">
        <f>IF(U46=0,0,VLOOKUP('Pro Forma'!U4,Amortization!$B$13:$E$372,2,FALSE))</f>
        <v>73945.908587199388</v>
      </c>
      <c r="V43" s="156">
        <f>IF(V46=0,0,VLOOKUP('Pro Forma'!V4,Amortization!$B$13:$E$372,2,FALSE))</f>
        <v>73829.981795401443</v>
      </c>
      <c r="W43" s="156">
        <f>IF(W46=0,0,VLOOKUP('Pro Forma'!W4,Amortization!$B$13:$E$372,2,FALSE))</f>
        <v>73713.678241530171</v>
      </c>
      <c r="X43" s="156">
        <f>IF(X46=0,0,VLOOKUP('Pro Forma'!X4,Amortization!$B$13:$E$372,2,FALSE))</f>
        <v>73596.996701108801</v>
      </c>
      <c r="Y43" s="156">
        <f>IF(Y46=0,0,VLOOKUP('Pro Forma'!Y4,Amortization!$B$13:$E$372,2,FALSE))</f>
        <v>73479.935945681063</v>
      </c>
      <c r="Z43" s="156">
        <f>IF(Z46=0,0,VLOOKUP('Pro Forma'!Z4,Amortization!$B$13:$E$372,2,FALSE))</f>
        <v>73362.494742798182</v>
      </c>
      <c r="AA43" s="156">
        <f>IF(AA46=0,0,VLOOKUP('Pro Forma'!AA4,Amortization!$B$13:$E$372,2,FALSE))</f>
        <v>73244.671856005938</v>
      </c>
      <c r="AB43" s="156">
        <f>IF(AB46=0,0,VLOOKUP('Pro Forma'!AB4,Amortization!$B$13:$E$372,2,FALSE))</f>
        <v>73126.466044831614</v>
      </c>
      <c r="AC43" s="156">
        <f>IF(AC46=0,0,VLOOKUP('Pro Forma'!AC4,Amortization!$B$13:$E$372,2,FALSE))</f>
        <v>73007.876064770971</v>
      </c>
      <c r="AD43" s="156">
        <f>IF(AD46=0,0,VLOOKUP('Pro Forma'!AD4,Amortization!$B$13:$E$372,2,FALSE))</f>
        <v>72888.900667275142</v>
      </c>
      <c r="AE43" s="156">
        <f>SUM(S43:AD43)</f>
        <v>882435.00724669849</v>
      </c>
      <c r="AF43" s="156">
        <f>IF(AF46=0,0,VLOOKUP('Pro Forma'!AF4,Amortization!$B$13:$E$372,2,FALSE))</f>
        <v>72769.53859973744</v>
      </c>
      <c r="AG43" s="156">
        <f>IF(AG46=0,0,VLOOKUP('Pro Forma'!AG4,Amortization!$B$13:$E$372,2,FALSE))</f>
        <v>72649.788605480251</v>
      </c>
      <c r="AH43" s="156">
        <f>IF(AH46=0,0,VLOOKUP('Pro Forma'!AH4,Amortization!$B$13:$E$372,2,FALSE))</f>
        <v>72529.649423741721</v>
      </c>
      <c r="AI43" s="156">
        <f>IF(AI46=0,0,VLOOKUP('Pro Forma'!AI4,Amortization!$B$13:$E$372,2,FALSE))</f>
        <v>72409.119789662538</v>
      </c>
      <c r="AJ43" s="156">
        <f>IF(AJ46=0,0,VLOOKUP('Pro Forma'!AJ4,Amortization!$B$13:$E$372,2,FALSE))</f>
        <v>72288.198434272606</v>
      </c>
      <c r="AK43" s="156">
        <f>IF(AK46=0,0,VLOOKUP('Pro Forma'!AK4,Amortization!$B$13:$E$372,2,FALSE))</f>
        <v>72166.884084477657</v>
      </c>
      <c r="AL43" s="156">
        <f>IF(AL46=0,0,VLOOKUP('Pro Forma'!AL4,Amortization!$B$13:$E$372,2,FALSE))</f>
        <v>72045.175463045874</v>
      </c>
      <c r="AM43" s="156">
        <f>IF(AM46=0,0,VLOOKUP('Pro Forma'!AM4,Amortization!$B$13:$E$372,2,FALSE))</f>
        <v>71923.071288594423</v>
      </c>
      <c r="AN43" s="156">
        <f>IF(AN46=0,0,VLOOKUP('Pro Forma'!AN4,Amortization!$B$13:$E$372,2,FALSE))</f>
        <v>71800.570275576014</v>
      </c>
      <c r="AO43" s="156">
        <f>IF(AO46=0,0,VLOOKUP('Pro Forma'!AO4,Amortization!$B$13:$E$372,2,FALSE))</f>
        <v>71677.6711342653</v>
      </c>
      <c r="AP43" s="156">
        <f>IF(AP46=0,0,VLOOKUP('Pro Forma'!AP4,Amortization!$B$13:$E$372,2,FALSE))</f>
        <v>71554.372570745312</v>
      </c>
      <c r="AQ43" s="156">
        <f>IF(AQ46=0,0,VLOOKUP('Pro Forma'!AQ4,Amortization!$B$13:$E$372,2,FALSE))</f>
        <v>71430.673286893914</v>
      </c>
      <c r="AR43" s="156">
        <f>SUM(AF43:AQ43)</f>
        <v>865244.71295649291</v>
      </c>
      <c r="AS43" s="156">
        <f>IF(AS46=0,0,VLOOKUP('Pro Forma'!AS4,Amortization!$B$13:$E$372,2,FALSE))</f>
        <v>0</v>
      </c>
      <c r="AT43" s="156">
        <f>IF(AT46=0,0,VLOOKUP('Pro Forma'!AT4,Amortization!$B$13:$E$372,2,FALSE))</f>
        <v>0</v>
      </c>
      <c r="AU43" s="156">
        <f>IF(AU46=0,0,VLOOKUP('Pro Forma'!AU4,Amortization!$B$13:$E$372,2,FALSE))</f>
        <v>0</v>
      </c>
      <c r="AV43" s="156">
        <f>IF(AV46=0,0,VLOOKUP('Pro Forma'!AV4,Amortization!$B$13:$E$372,2,FALSE))</f>
        <v>0</v>
      </c>
      <c r="AW43" s="156">
        <f>IF(AW46=0,0,VLOOKUP('Pro Forma'!AW4,Amortization!$B$13:$E$372,2,FALSE))</f>
        <v>0</v>
      </c>
      <c r="AX43" s="156">
        <f>IF(AX46=0,0,VLOOKUP('Pro Forma'!AX4,Amortization!$B$13:$E$372,2,FALSE))</f>
        <v>0</v>
      </c>
      <c r="AY43" s="156">
        <f>IF(AY46=0,0,VLOOKUP('Pro Forma'!AY4,Amortization!$B$13:$E$372,2,FALSE))</f>
        <v>0</v>
      </c>
      <c r="AZ43" s="156">
        <f>IF(AZ46=0,0,VLOOKUP('Pro Forma'!AZ4,Amortization!$B$13:$E$372,2,FALSE))</f>
        <v>0</v>
      </c>
      <c r="BA43" s="156">
        <f>IF(BA46=0,0,VLOOKUP('Pro Forma'!BA4,Amortization!$B$13:$E$372,2,FALSE))</f>
        <v>0</v>
      </c>
      <c r="BB43" s="156">
        <f>IF(BB46=0,0,VLOOKUP('Pro Forma'!BB4,Amortization!$B$13:$E$372,2,FALSE))</f>
        <v>0</v>
      </c>
      <c r="BC43" s="156">
        <f>IF(BC46=0,0,VLOOKUP('Pro Forma'!BC4,Amortization!$B$13:$E$372,2,FALSE))</f>
        <v>0</v>
      </c>
      <c r="BD43" s="156">
        <f>IF(BD46=0,0,VLOOKUP('Pro Forma'!BD4,Amortization!$B$13:$E$372,2,FALSE))</f>
        <v>0</v>
      </c>
      <c r="BE43" s="156">
        <f>SUM(AS43:BD43)</f>
        <v>0</v>
      </c>
      <c r="BF43" s="156">
        <f>IF(BF46=0,0,VLOOKUP('Pro Forma'!BF4,Amortization!$B$13:$E$372,2,FALSE))</f>
        <v>0</v>
      </c>
      <c r="BG43" s="156">
        <f>IF(BG46=0,0,VLOOKUP('Pro Forma'!BG4,Amortization!$B$13:$E$372,2,FALSE))</f>
        <v>0</v>
      </c>
      <c r="BH43" s="156">
        <f>IF(BH46=0,0,VLOOKUP('Pro Forma'!BH4,Amortization!$B$13:$E$372,2,FALSE))</f>
        <v>0</v>
      </c>
      <c r="BI43" s="156">
        <f>IF(BI46=0,0,VLOOKUP('Pro Forma'!BI4,Amortization!$B$13:$E$372,2,FALSE))</f>
        <v>0</v>
      </c>
      <c r="BJ43" s="156">
        <f>IF(BJ46=0,0,VLOOKUP('Pro Forma'!BJ4,Amortization!$B$13:$E$372,2,FALSE))</f>
        <v>0</v>
      </c>
      <c r="BK43" s="156">
        <f>IF(BK46=0,0,VLOOKUP('Pro Forma'!BK4,Amortization!$B$13:$E$372,2,FALSE))</f>
        <v>0</v>
      </c>
      <c r="BL43" s="156">
        <f>IF(BL46=0,0,VLOOKUP('Pro Forma'!BL4,Amortization!$B$13:$E$372,2,FALSE))</f>
        <v>0</v>
      </c>
      <c r="BM43" s="156">
        <f>IF(BM46=0,0,VLOOKUP('Pro Forma'!BM4,Amortization!$B$13:$E$372,2,FALSE))</f>
        <v>0</v>
      </c>
      <c r="BN43" s="156">
        <f>IF(BN46=0,0,VLOOKUP('Pro Forma'!BN4,Amortization!$B$13:$E$372,2,FALSE))</f>
        <v>0</v>
      </c>
      <c r="BO43" s="156">
        <f>IF(BO46=0,0,VLOOKUP('Pro Forma'!BO4,Amortization!$B$13:$E$372,2,FALSE))</f>
        <v>0</v>
      </c>
      <c r="BP43" s="156">
        <f>IF(BP46=0,0,VLOOKUP('Pro Forma'!BP4,Amortization!$B$13:$E$372,2,FALSE))</f>
        <v>0</v>
      </c>
      <c r="BQ43" s="156">
        <f>IF(BQ46=0,0,VLOOKUP('Pro Forma'!BQ4,Amortization!$B$13:$E$372,2,FALSE))</f>
        <v>0</v>
      </c>
      <c r="BR43" s="156">
        <f>SUM(BF43:BQ43)</f>
        <v>0</v>
      </c>
      <c r="BS43" s="156">
        <f>IF(BS46=0,0,VLOOKUP('Pro Forma'!BS4,Amortization!$B$13:$E$372,2,FALSE))</f>
        <v>0</v>
      </c>
      <c r="BT43" s="156">
        <f>IF(BT46=0,0,VLOOKUP('Pro Forma'!BT4,Amortization!$B$13:$E$372,2,FALSE))</f>
        <v>0</v>
      </c>
      <c r="BU43" s="156">
        <f>IF(BU46=0,0,VLOOKUP('Pro Forma'!BU4,Amortization!$B$13:$E$372,2,FALSE))</f>
        <v>0</v>
      </c>
      <c r="BV43" s="156">
        <f>IF(BV46=0,0,VLOOKUP('Pro Forma'!BV4,Amortization!$B$13:$E$372,2,FALSE))</f>
        <v>0</v>
      </c>
      <c r="BW43" s="156">
        <f>IF(BW46=0,0,VLOOKUP('Pro Forma'!BW4,Amortization!$B$13:$E$372,2,FALSE))</f>
        <v>0</v>
      </c>
      <c r="BX43" s="156">
        <f>IF(BX46=0,0,VLOOKUP('Pro Forma'!BX4,Amortization!$B$13:$E$372,2,FALSE))</f>
        <v>0</v>
      </c>
      <c r="BY43" s="156">
        <f>IF(BY46=0,0,VLOOKUP('Pro Forma'!BY4,Amortization!$B$13:$E$372,2,FALSE))</f>
        <v>0</v>
      </c>
      <c r="BZ43" s="156">
        <f>IF(BZ46=0,0,VLOOKUP('Pro Forma'!BZ4,Amortization!$B$13:$E$372,2,FALSE))</f>
        <v>0</v>
      </c>
      <c r="CA43" s="156">
        <f>IF(CA46=0,0,VLOOKUP('Pro Forma'!CA4,Amortization!$B$13:$E$372,2,FALSE))</f>
        <v>0</v>
      </c>
      <c r="CB43" s="156">
        <f>IF(CB46=0,0,VLOOKUP('Pro Forma'!CB4,Amortization!$B$13:$E$372,2,FALSE))</f>
        <v>0</v>
      </c>
      <c r="CC43" s="156">
        <f>IF(CC46=0,0,VLOOKUP('Pro Forma'!CC4,Amortization!$B$13:$E$372,2,FALSE))</f>
        <v>0</v>
      </c>
      <c r="CD43" s="156">
        <f>IF(CD46=0,0,VLOOKUP('Pro Forma'!CD4,Amortization!$B$13:$E$372,2,FALSE))</f>
        <v>0</v>
      </c>
      <c r="CE43" s="156">
        <f>SUM(BS43:CD43)</f>
        <v>0</v>
      </c>
      <c r="CF43" s="156">
        <f>IF(CF46=0,0,VLOOKUP('Pro Forma'!CF4,Amortization!$B$13:$E$372,2,FALSE))</f>
        <v>0</v>
      </c>
      <c r="CG43" s="156">
        <f>IF(CG46=0,0,VLOOKUP('Pro Forma'!CG4,Amortization!$B$13:$E$372,2,FALSE))</f>
        <v>0</v>
      </c>
      <c r="CH43" s="156">
        <f>IF(CH46=0,0,VLOOKUP('Pro Forma'!CH4,Amortization!$B$13:$E$372,2,FALSE))</f>
        <v>0</v>
      </c>
      <c r="CI43" s="156">
        <f>IF(CI46=0,0,VLOOKUP('Pro Forma'!CI4,Amortization!$B$13:$E$372,2,FALSE))</f>
        <v>0</v>
      </c>
      <c r="CJ43" s="156">
        <f>IF(CJ46=0,0,VLOOKUP('Pro Forma'!CJ4,Amortization!$B$13:$E$372,2,FALSE))</f>
        <v>0</v>
      </c>
      <c r="CK43" s="156">
        <f>IF(CK46=0,0,VLOOKUP('Pro Forma'!CK4,Amortization!$B$13:$E$372,2,FALSE))</f>
        <v>0</v>
      </c>
      <c r="CL43" s="156">
        <f>IF(CL46=0,0,VLOOKUP('Pro Forma'!CL4,Amortization!$B$13:$E$372,2,FALSE))</f>
        <v>0</v>
      </c>
      <c r="CM43" s="156">
        <f>IF(CM46=0,0,VLOOKUP('Pro Forma'!CM4,Amortization!$B$13:$E$372,2,FALSE))</f>
        <v>0</v>
      </c>
      <c r="CN43" s="156">
        <f>IF(CN46=0,0,VLOOKUP('Pro Forma'!CN4,Amortization!$B$13:$E$372,2,FALSE))</f>
        <v>0</v>
      </c>
      <c r="CO43" s="156">
        <f>IF(CO46=0,0,VLOOKUP('Pro Forma'!CO4,Amortization!$B$13:$E$372,2,FALSE))</f>
        <v>0</v>
      </c>
      <c r="CP43" s="156">
        <f>IF(CP46=0,0,VLOOKUP('Pro Forma'!CP4,Amortization!$B$13:$E$372,2,FALSE))</f>
        <v>0</v>
      </c>
      <c r="CQ43" s="156">
        <f>IF(CQ46=0,0,VLOOKUP('Pro Forma'!CQ4,Amortization!$B$13:$E$372,2,FALSE))</f>
        <v>0</v>
      </c>
      <c r="CR43" s="156">
        <f>SUM(CF43:CQ43)</f>
        <v>0</v>
      </c>
      <c r="CS43" s="156">
        <f>IF(CS46=0,0,VLOOKUP('Pro Forma'!CS4,Amortization!$B$13:$E$372,2,FALSE))</f>
        <v>0</v>
      </c>
      <c r="CT43" s="156">
        <f>IF(CT46=0,0,VLOOKUP('Pro Forma'!CT4,Amortization!$B$13:$E$372,2,FALSE))</f>
        <v>0</v>
      </c>
      <c r="CU43" s="156">
        <f>IF(CU46=0,0,VLOOKUP('Pro Forma'!CU4,Amortization!$B$13:$E$372,2,FALSE))</f>
        <v>0</v>
      </c>
      <c r="CV43" s="156">
        <f>IF(CV46=0,0,VLOOKUP('Pro Forma'!CV4,Amortization!$B$13:$E$372,2,FALSE))</f>
        <v>0</v>
      </c>
      <c r="CW43" s="156">
        <f>IF(CW46=0,0,VLOOKUP('Pro Forma'!CW4,Amortization!$B$13:$E$372,2,FALSE))</f>
        <v>0</v>
      </c>
      <c r="CX43" s="156">
        <f>IF(CX46=0,0,VLOOKUP('Pro Forma'!CX4,Amortization!$B$13:$E$372,2,FALSE))</f>
        <v>0</v>
      </c>
      <c r="CY43" s="156">
        <f>IF(CY46=0,0,VLOOKUP('Pro Forma'!CY4,Amortization!$B$13:$E$372,2,FALSE))</f>
        <v>0</v>
      </c>
      <c r="CZ43" s="156">
        <f>IF(CZ46=0,0,VLOOKUP('Pro Forma'!CZ4,Amortization!$B$13:$E$372,2,FALSE))</f>
        <v>0</v>
      </c>
      <c r="DA43" s="156">
        <f>IF(DA46=0,0,VLOOKUP('Pro Forma'!DA4,Amortization!$B$13:$E$372,2,FALSE))</f>
        <v>0</v>
      </c>
      <c r="DB43" s="156">
        <f>IF(DB46=0,0,VLOOKUP('Pro Forma'!DB4,Amortization!$B$13:$E$372,2,FALSE))</f>
        <v>0</v>
      </c>
      <c r="DC43" s="156">
        <f>IF(DC46=0,0,VLOOKUP('Pro Forma'!DC4,Amortization!$B$13:$E$372,2,FALSE))</f>
        <v>0</v>
      </c>
      <c r="DD43" s="156">
        <f>IF(DD46=0,0,VLOOKUP('Pro Forma'!DD4,Amortization!$B$13:$E$372,2,FALSE))</f>
        <v>0</v>
      </c>
      <c r="DE43" s="156">
        <f>SUM(CS43:DD43)</f>
        <v>0</v>
      </c>
      <c r="DF43" s="156">
        <f>IF(DF46=0,0,VLOOKUP('Pro Forma'!DF4,Amortization!$B$13:$E$372,2,FALSE))</f>
        <v>0</v>
      </c>
      <c r="DG43" s="156">
        <f>IF(DG46=0,0,VLOOKUP('Pro Forma'!DG4,Amortization!$B$13:$E$372,2,FALSE))</f>
        <v>0</v>
      </c>
      <c r="DH43" s="156">
        <f>IF(DH46=0,0,VLOOKUP('Pro Forma'!DH4,Amortization!$B$13:$E$372,2,FALSE))</f>
        <v>0</v>
      </c>
      <c r="DI43" s="156">
        <f>IF(DI46=0,0,VLOOKUP('Pro Forma'!DI4,Amortization!$B$13:$E$372,2,FALSE))</f>
        <v>0</v>
      </c>
      <c r="DJ43" s="156">
        <f>IF(DJ46=0,0,VLOOKUP('Pro Forma'!DJ4,Amortization!$B$13:$E$372,2,FALSE))</f>
        <v>0</v>
      </c>
      <c r="DK43" s="156">
        <f>IF(DK46=0,0,VLOOKUP('Pro Forma'!DK4,Amortization!$B$13:$E$372,2,FALSE))</f>
        <v>0</v>
      </c>
      <c r="DL43" s="156">
        <f>IF(DL46=0,0,VLOOKUP('Pro Forma'!DL4,Amortization!$B$13:$E$372,2,FALSE))</f>
        <v>0</v>
      </c>
      <c r="DM43" s="156">
        <f>IF(DM46=0,0,VLOOKUP('Pro Forma'!DM4,Amortization!$B$13:$E$372,2,FALSE))</f>
        <v>0</v>
      </c>
      <c r="DN43" s="156">
        <f>IF(DN46=0,0,VLOOKUP('Pro Forma'!DN4,Amortization!$B$13:$E$372,2,FALSE))</f>
        <v>0</v>
      </c>
      <c r="DO43" s="156">
        <f>IF(DO46=0,0,VLOOKUP('Pro Forma'!DO4,Amortization!$B$13:$E$372,2,FALSE))</f>
        <v>0</v>
      </c>
      <c r="DP43" s="156">
        <f>IF(DP46=0,0,VLOOKUP('Pro Forma'!DP4,Amortization!$B$13:$E$372,2,FALSE))</f>
        <v>0</v>
      </c>
      <c r="DQ43" s="156">
        <f>IF(DQ46=0,0,VLOOKUP('Pro Forma'!DQ4,Amortization!$B$13:$E$372,2,FALSE))</f>
        <v>0</v>
      </c>
      <c r="DR43" s="156">
        <f>SUM(DF43:DQ43)</f>
        <v>0</v>
      </c>
      <c r="DS43" s="156">
        <f>IF(DS46=0,0,VLOOKUP('Pro Forma'!DS4,Amortization!$B$13:$E$372,2,FALSE))</f>
        <v>0</v>
      </c>
      <c r="DT43" s="156">
        <f>IF(DT46=0,0,VLOOKUP('Pro Forma'!DT4,Amortization!$B$13:$E$372,2,FALSE))</f>
        <v>0</v>
      </c>
      <c r="DU43" s="156">
        <f>IF(DU46=0,0,VLOOKUP('Pro Forma'!DU4,Amortization!$B$13:$E$372,2,FALSE))</f>
        <v>0</v>
      </c>
      <c r="DV43" s="156">
        <f>IF(DV46=0,0,VLOOKUP('Pro Forma'!DV4,Amortization!$B$13:$E$372,2,FALSE))</f>
        <v>0</v>
      </c>
      <c r="DW43" s="156">
        <f>IF(DW46=0,0,VLOOKUP('Pro Forma'!DW4,Amortization!$B$13:$E$372,2,FALSE))</f>
        <v>0</v>
      </c>
      <c r="DX43" s="156">
        <f>IF(DX46=0,0,VLOOKUP('Pro Forma'!DX4,Amortization!$B$13:$E$372,2,FALSE))</f>
        <v>0</v>
      </c>
      <c r="DY43" s="156">
        <f>IF(DY46=0,0,VLOOKUP('Pro Forma'!DY4,Amortization!$B$13:$E$372,2,FALSE))</f>
        <v>0</v>
      </c>
      <c r="DZ43" s="156">
        <f>IF(DZ46=0,0,VLOOKUP('Pro Forma'!DZ4,Amortization!$B$13:$E$372,2,FALSE))</f>
        <v>0</v>
      </c>
      <c r="EA43" s="156">
        <f>IF(EA46=0,0,VLOOKUP('Pro Forma'!EA4,Amortization!$B$13:$E$372,2,FALSE))</f>
        <v>0</v>
      </c>
      <c r="EB43" s="156">
        <f>IF(EB46=0,0,VLOOKUP('Pro Forma'!EB4,Amortization!$B$13:$E$372,2,FALSE))</f>
        <v>0</v>
      </c>
      <c r="EC43" s="156">
        <f>IF(EC46=0,0,VLOOKUP('Pro Forma'!EC4,Amortization!$B$13:$E$372,2,FALSE))</f>
        <v>0</v>
      </c>
      <c r="ED43" s="156">
        <f>IF(ED46=0,0,VLOOKUP('Pro Forma'!ED4,Amortization!$B$13:$E$372,2,FALSE))</f>
        <v>0</v>
      </c>
      <c r="EE43" s="243">
        <f>SUM(DS43:ED43)</f>
        <v>0</v>
      </c>
      <c r="EF43" s="11"/>
      <c r="EG43" s="11"/>
      <c r="EH43" s="11"/>
      <c r="EI43" s="11"/>
    </row>
    <row r="44" spans="2:139">
      <c r="B44" s="760"/>
      <c r="C44" t="s">
        <v>311</v>
      </c>
      <c r="D44" s="1101"/>
      <c r="E44" s="1101"/>
      <c r="F44" s="14">
        <f>IF(F46=0,0,VLOOKUP('Pro Forma'!F4,Amortization!$B$13:$E$372,3,FALSE))</f>
        <v>34085.690678873638</v>
      </c>
      <c r="G44" s="14">
        <f>IF(G46=0,0,VLOOKUP('Pro Forma'!G4,Amortization!$B$13:$E$372,3,FALSE))</f>
        <v>34196.469173579972</v>
      </c>
      <c r="H44" s="14">
        <f>IF(H46=0,0,VLOOKUP('Pro Forma'!H4,Amortization!$B$13:$E$372,3,FALSE))</f>
        <v>34307.607698394117</v>
      </c>
      <c r="I44" s="14">
        <f>IF(I46=0,0,VLOOKUP('Pro Forma'!I4,Amortization!$B$13:$E$372,3,FALSE))</f>
        <v>34419.107423413894</v>
      </c>
      <c r="J44" s="14">
        <f>IF(J46=0,0,VLOOKUP('Pro Forma'!J4,Amortization!$B$13:$E$372,3,FALSE))</f>
        <v>34530.969522539992</v>
      </c>
      <c r="K44" s="14">
        <f>IF(K46=0,0,VLOOKUP('Pro Forma'!K4,Amortization!$B$13:$E$372,3,FALSE))</f>
        <v>34643.195173488246</v>
      </c>
      <c r="L44" s="14">
        <f>IF(L46=0,0,VLOOKUP('Pro Forma'!L4,Amortization!$B$13:$E$372,3,FALSE))</f>
        <v>34755.785557802083</v>
      </c>
      <c r="M44" s="14">
        <f>IF(M46=0,0,VLOOKUP('Pro Forma'!M4,Amortization!$B$13:$E$372,3,FALSE))</f>
        <v>34868.741860864931</v>
      </c>
      <c r="N44" s="14">
        <f>IF(N46=0,0,VLOOKUP('Pro Forma'!N4,Amortization!$B$13:$E$372,3,FALSE))</f>
        <v>34982.065271912754</v>
      </c>
      <c r="O44" s="14">
        <f>IF(O46=0,0,VLOOKUP('Pro Forma'!O4,Amortization!$B$13:$E$372,3,FALSE))</f>
        <v>35095.756984046471</v>
      </c>
      <c r="P44" s="14">
        <f>IF(P46=0,0,VLOOKUP('Pro Forma'!P4,Amortization!$B$13:$E$372,3,FALSE))</f>
        <v>35209.818194244624</v>
      </c>
      <c r="Q44" s="14">
        <f>IF(Q46=0,0,VLOOKUP('Pro Forma'!Q4,Amortization!$B$13:$E$372,3,FALSE))</f>
        <v>35324.250103375918</v>
      </c>
      <c r="R44" s="14">
        <f>SUM(F44:Q44)</f>
        <v>416419.45764253661</v>
      </c>
      <c r="S44" s="14">
        <f>IF(S46=0,0,VLOOKUP('Pro Forma'!S4,Amortization!$B$13:$E$372,3,FALSE))</f>
        <v>35439.053916211895</v>
      </c>
      <c r="T44" s="14">
        <f>IF(T46=0,0,VLOOKUP('Pro Forma'!T4,Amortization!$B$13:$E$372,3,FALSE))</f>
        <v>35554.230841439581</v>
      </c>
      <c r="U44" s="14">
        <f>IF(U46=0,0,VLOOKUP('Pro Forma'!U4,Amortization!$B$13:$E$372,3,FALSE))</f>
        <v>35669.782091674264</v>
      </c>
      <c r="V44" s="14">
        <f>IF(V46=0,0,VLOOKUP('Pro Forma'!V4,Amortization!$B$13:$E$372,3,FALSE))</f>
        <v>35785.708883472209</v>
      </c>
      <c r="W44" s="14">
        <f>IF(W46=0,0,VLOOKUP('Pro Forma'!W4,Amortization!$B$13:$E$372,3,FALSE))</f>
        <v>35902.012437343481</v>
      </c>
      <c r="X44" s="14">
        <f>IF(X46=0,0,VLOOKUP('Pro Forma'!X4,Amortization!$B$13:$E$372,3,FALSE))</f>
        <v>36018.693977764851</v>
      </c>
      <c r="Y44" s="14">
        <f>IF(Y46=0,0,VLOOKUP('Pro Forma'!Y4,Amortization!$B$13:$E$372,3,FALSE))</f>
        <v>36135.754733192589</v>
      </c>
      <c r="Z44" s="14">
        <f>IF(Z46=0,0,VLOOKUP('Pro Forma'!Z4,Amortization!$B$13:$E$372,3,FALSE))</f>
        <v>36253.19593607547</v>
      </c>
      <c r="AA44" s="14">
        <f>IF(AA46=0,0,VLOOKUP('Pro Forma'!AA4,Amortization!$B$13:$E$372,3,FALSE))</f>
        <v>36371.018822867714</v>
      </c>
      <c r="AB44" s="14">
        <f>IF(AB46=0,0,VLOOKUP('Pro Forma'!AB4,Amortization!$B$13:$E$372,3,FALSE))</f>
        <v>36489.224634042039</v>
      </c>
      <c r="AC44" s="14">
        <f>IF(AC46=0,0,VLOOKUP('Pro Forma'!AC4,Amortization!$B$13:$E$372,3,FALSE))</f>
        <v>36607.814614102681</v>
      </c>
      <c r="AD44" s="14">
        <f>IF(AD46=0,0,VLOOKUP('Pro Forma'!AD4,Amortization!$B$13:$E$372,3,FALSE))</f>
        <v>36726.79001159851</v>
      </c>
      <c r="AE44" s="14">
        <f>SUM(S44:AD44)</f>
        <v>432953.28089978534</v>
      </c>
      <c r="AF44" s="14">
        <f>IF(AF46=0,0,VLOOKUP('Pro Forma'!AF4,Amortization!$B$13:$E$372,3,FALSE))</f>
        <v>36846.152079136213</v>
      </c>
      <c r="AG44" s="14">
        <f>IF(AG46=0,0,VLOOKUP('Pro Forma'!AG4,Amortization!$B$13:$E$372,3,FALSE))</f>
        <v>36965.902073393401</v>
      </c>
      <c r="AH44" s="14">
        <f>IF(AH46=0,0,VLOOKUP('Pro Forma'!AH4,Amortization!$B$13:$E$372,3,FALSE))</f>
        <v>37086.041255131931</v>
      </c>
      <c r="AI44" s="14">
        <f>IF(AI46=0,0,VLOOKUP('Pro Forma'!AI4,Amortization!$B$13:$E$372,3,FALSE))</f>
        <v>37206.570889211114</v>
      </c>
      <c r="AJ44" s="14">
        <f>IF(AJ46=0,0,VLOOKUP('Pro Forma'!AJ4,Amortization!$B$13:$E$372,3,FALSE))</f>
        <v>37327.492244601046</v>
      </c>
      <c r="AK44" s="14">
        <f>IF(AK46=0,0,VLOOKUP('Pro Forma'!AK4,Amortization!$B$13:$E$372,3,FALSE))</f>
        <v>37448.806594395995</v>
      </c>
      <c r="AL44" s="14">
        <f>IF(AL46=0,0,VLOOKUP('Pro Forma'!AL4,Amortization!$B$13:$E$372,3,FALSE))</f>
        <v>37570.515215827778</v>
      </c>
      <c r="AM44" s="14">
        <f>IF(AM46=0,0,VLOOKUP('Pro Forma'!AM4,Amortization!$B$13:$E$372,3,FALSE))</f>
        <v>37692.619390279229</v>
      </c>
      <c r="AN44" s="14">
        <f>IF(AN46=0,0,VLOOKUP('Pro Forma'!AN4,Amortization!$B$13:$E$372,3,FALSE))</f>
        <v>37815.120403297638</v>
      </c>
      <c r="AO44" s="14">
        <f>IF(AO46=0,0,VLOOKUP('Pro Forma'!AO4,Amortization!$B$13:$E$372,3,FALSE))</f>
        <v>37938.019544608353</v>
      </c>
      <c r="AP44" s="14">
        <f>IF(AP46=0,0,VLOOKUP('Pro Forma'!AP4,Amortization!$B$13:$E$372,3,FALSE))</f>
        <v>38061.31810812834</v>
      </c>
      <c r="AQ44" s="14">
        <f>IF(AQ46=0,0,VLOOKUP('Pro Forma'!AQ4,Amortization!$B$13:$E$372,3,FALSE))</f>
        <v>38185.017391979738</v>
      </c>
      <c r="AR44" s="14">
        <f>SUM(AF44:AQ44)</f>
        <v>450143.57518999081</v>
      </c>
      <c r="AS44" s="14">
        <f>IF(AS46=0,0,VLOOKUP('Pro Forma'!AS4,Amortization!$B$13:$E$372,3,FALSE))</f>
        <v>0</v>
      </c>
      <c r="AT44" s="14">
        <f>IF(AT46=0,0,VLOOKUP('Pro Forma'!AT4,Amortization!$B$13:$E$372,3,FALSE))</f>
        <v>0</v>
      </c>
      <c r="AU44" s="14">
        <f>IF(AU46=0,0,VLOOKUP('Pro Forma'!AU4,Amortization!$B$13:$E$372,3,FALSE))</f>
        <v>0</v>
      </c>
      <c r="AV44" s="14">
        <f>IF(AV46=0,0,VLOOKUP('Pro Forma'!AV4,Amortization!$B$13:$E$372,3,FALSE))</f>
        <v>0</v>
      </c>
      <c r="AW44" s="14">
        <f>IF(AW46=0,0,VLOOKUP('Pro Forma'!AW4,Amortization!$B$13:$E$372,3,FALSE))</f>
        <v>0</v>
      </c>
      <c r="AX44" s="14">
        <f>IF(AX46=0,0,VLOOKUP('Pro Forma'!AX4,Amortization!$B$13:$E$372,3,FALSE))</f>
        <v>0</v>
      </c>
      <c r="AY44" s="14">
        <f>IF(AY46=0,0,VLOOKUP('Pro Forma'!AY4,Amortization!$B$13:$E$372,3,FALSE))</f>
        <v>0</v>
      </c>
      <c r="AZ44" s="14">
        <f>IF(AZ46=0,0,VLOOKUP('Pro Forma'!AZ4,Amortization!$B$13:$E$372,3,FALSE))</f>
        <v>0</v>
      </c>
      <c r="BA44" s="14">
        <f>IF(BA46=0,0,VLOOKUP('Pro Forma'!BA4,Amortization!$B$13:$E$372,3,FALSE))</f>
        <v>0</v>
      </c>
      <c r="BB44" s="14">
        <f>IF(BB46=0,0,VLOOKUP('Pro Forma'!BB4,Amortization!$B$13:$E$372,3,FALSE))</f>
        <v>0</v>
      </c>
      <c r="BC44" s="14">
        <f>IF(BC46=0,0,VLOOKUP('Pro Forma'!BC4,Amortization!$B$13:$E$372,3,FALSE))</f>
        <v>0</v>
      </c>
      <c r="BD44" s="14">
        <f>IF(BD46=0,0,VLOOKUP('Pro Forma'!BD4,Amortization!$B$13:$E$372,3,FALSE))</f>
        <v>0</v>
      </c>
      <c r="BE44" s="14">
        <f>SUM(AS44:BD44)</f>
        <v>0</v>
      </c>
      <c r="BF44" s="14">
        <f>IF(BF46=0,0,VLOOKUP('Pro Forma'!BF4,Amortization!$B$13:$E$372,3,FALSE))</f>
        <v>0</v>
      </c>
      <c r="BG44" s="14">
        <f>IF(BG46=0,0,VLOOKUP('Pro Forma'!BG4,Amortization!$B$13:$E$372,3,FALSE))</f>
        <v>0</v>
      </c>
      <c r="BH44" s="14">
        <f>IF(BH46=0,0,VLOOKUP('Pro Forma'!BH4,Amortization!$B$13:$E$372,3,FALSE))</f>
        <v>0</v>
      </c>
      <c r="BI44" s="14">
        <f>IF(BI46=0,0,VLOOKUP('Pro Forma'!BI4,Amortization!$B$13:$E$372,3,FALSE))</f>
        <v>0</v>
      </c>
      <c r="BJ44" s="14">
        <f>IF(BJ46=0,0,VLOOKUP('Pro Forma'!BJ4,Amortization!$B$13:$E$372,3,FALSE))</f>
        <v>0</v>
      </c>
      <c r="BK44" s="14">
        <f>IF(BK46=0,0,VLOOKUP('Pro Forma'!BK4,Amortization!$B$13:$E$372,3,FALSE))</f>
        <v>0</v>
      </c>
      <c r="BL44" s="14">
        <f>IF(BL46=0,0,VLOOKUP('Pro Forma'!BL4,Amortization!$B$13:$E$372,3,FALSE))</f>
        <v>0</v>
      </c>
      <c r="BM44" s="14">
        <f>IF(BM46=0,0,VLOOKUP('Pro Forma'!BM4,Amortization!$B$13:$E$372,3,FALSE))</f>
        <v>0</v>
      </c>
      <c r="BN44" s="14">
        <f>IF(BN46=0,0,VLOOKUP('Pro Forma'!BN4,Amortization!$B$13:$E$372,3,FALSE))</f>
        <v>0</v>
      </c>
      <c r="BO44" s="14">
        <f>IF(BO46=0,0,VLOOKUP('Pro Forma'!BO4,Amortization!$B$13:$E$372,3,FALSE))</f>
        <v>0</v>
      </c>
      <c r="BP44" s="14">
        <f>IF(BP46=0,0,VLOOKUP('Pro Forma'!BP4,Amortization!$B$13:$E$372,3,FALSE))</f>
        <v>0</v>
      </c>
      <c r="BQ44" s="14">
        <f>IF(BQ46=0,0,VLOOKUP('Pro Forma'!BQ4,Amortization!$B$13:$E$372,3,FALSE))</f>
        <v>0</v>
      </c>
      <c r="BR44" s="14">
        <f>SUM(BF44:BQ44)</f>
        <v>0</v>
      </c>
      <c r="BS44" s="14">
        <f>IF(BS46=0,0,VLOOKUP('Pro Forma'!BS4,Amortization!$B$13:$E$372,3,FALSE))</f>
        <v>0</v>
      </c>
      <c r="BT44" s="14">
        <f>IF(BT46=0,0,VLOOKUP('Pro Forma'!BT4,Amortization!$B$13:$E$372,3,FALSE))</f>
        <v>0</v>
      </c>
      <c r="BU44" s="14">
        <f>IF(BU46=0,0,VLOOKUP('Pro Forma'!BU4,Amortization!$B$13:$E$372,3,FALSE))</f>
        <v>0</v>
      </c>
      <c r="BV44" s="14">
        <f>IF(BV46=0,0,VLOOKUP('Pro Forma'!BV4,Amortization!$B$13:$E$372,3,FALSE))</f>
        <v>0</v>
      </c>
      <c r="BW44" s="14">
        <f>IF(BW46=0,0,VLOOKUP('Pro Forma'!BW4,Amortization!$B$13:$E$372,3,FALSE))</f>
        <v>0</v>
      </c>
      <c r="BX44" s="14">
        <f>IF(BX46=0,0,VLOOKUP('Pro Forma'!BX4,Amortization!$B$13:$E$372,3,FALSE))</f>
        <v>0</v>
      </c>
      <c r="BY44" s="14">
        <f>IF(BY46=0,0,VLOOKUP('Pro Forma'!BY4,Amortization!$B$13:$E$372,3,FALSE))</f>
        <v>0</v>
      </c>
      <c r="BZ44" s="14">
        <f>IF(BZ46=0,0,VLOOKUP('Pro Forma'!BZ4,Amortization!$B$13:$E$372,3,FALSE))</f>
        <v>0</v>
      </c>
      <c r="CA44" s="14">
        <f>IF(CA46=0,0,VLOOKUP('Pro Forma'!CA4,Amortization!$B$13:$E$372,3,FALSE))</f>
        <v>0</v>
      </c>
      <c r="CB44" s="14">
        <f>IF(CB46=0,0,VLOOKUP('Pro Forma'!CB4,Amortization!$B$13:$E$372,3,FALSE))</f>
        <v>0</v>
      </c>
      <c r="CC44" s="14">
        <f>IF(CC46=0,0,VLOOKUP('Pro Forma'!CC4,Amortization!$B$13:$E$372,3,FALSE))</f>
        <v>0</v>
      </c>
      <c r="CD44" s="14">
        <f>IF(CD46=0,0,VLOOKUP('Pro Forma'!CD4,Amortization!$B$13:$E$372,3,FALSE))</f>
        <v>0</v>
      </c>
      <c r="CE44" s="14">
        <f>SUM(BS44:CD44)</f>
        <v>0</v>
      </c>
      <c r="CF44" s="14">
        <f>IF(CF46=0,0,VLOOKUP('Pro Forma'!CF4,Amortization!$B$13:$E$372,3,FALSE))</f>
        <v>0</v>
      </c>
      <c r="CG44" s="14">
        <f>IF(CG46=0,0,VLOOKUP('Pro Forma'!CG4,Amortization!$B$13:$E$372,3,FALSE))</f>
        <v>0</v>
      </c>
      <c r="CH44" s="14">
        <f>IF(CH46=0,0,VLOOKUP('Pro Forma'!CH4,Amortization!$B$13:$E$372,3,FALSE))</f>
        <v>0</v>
      </c>
      <c r="CI44" s="14">
        <f>IF(CI46=0,0,VLOOKUP('Pro Forma'!CI4,Amortization!$B$13:$E$372,3,FALSE))</f>
        <v>0</v>
      </c>
      <c r="CJ44" s="14">
        <f>IF(CJ46=0,0,VLOOKUP('Pro Forma'!CJ4,Amortization!$B$13:$E$372,3,FALSE))</f>
        <v>0</v>
      </c>
      <c r="CK44" s="14">
        <f>IF(CK46=0,0,VLOOKUP('Pro Forma'!CK4,Amortization!$B$13:$E$372,3,FALSE))</f>
        <v>0</v>
      </c>
      <c r="CL44" s="14">
        <f>IF(CL46=0,0,VLOOKUP('Pro Forma'!CL4,Amortization!$B$13:$E$372,3,FALSE))</f>
        <v>0</v>
      </c>
      <c r="CM44" s="14">
        <f>IF(CM46=0,0,VLOOKUP('Pro Forma'!CM4,Amortization!$B$13:$E$372,3,FALSE))</f>
        <v>0</v>
      </c>
      <c r="CN44" s="14">
        <f>IF(CN46=0,0,VLOOKUP('Pro Forma'!CN4,Amortization!$B$13:$E$372,3,FALSE))</f>
        <v>0</v>
      </c>
      <c r="CO44" s="14">
        <f>IF(CO46=0,0,VLOOKUP('Pro Forma'!CO4,Amortization!$B$13:$E$372,3,FALSE))</f>
        <v>0</v>
      </c>
      <c r="CP44" s="14">
        <f>IF(CP46=0,0,VLOOKUP('Pro Forma'!CP4,Amortization!$B$13:$E$372,3,FALSE))</f>
        <v>0</v>
      </c>
      <c r="CQ44" s="14">
        <f>IF(CQ46=0,0,VLOOKUP('Pro Forma'!CQ4,Amortization!$B$13:$E$372,3,FALSE))</f>
        <v>0</v>
      </c>
      <c r="CR44" s="14">
        <f>SUM(CF44:CQ44)</f>
        <v>0</v>
      </c>
      <c r="CS44" s="14">
        <f>IF(CS46=0,0,VLOOKUP('Pro Forma'!CS4,Amortization!$B$13:$E$372,3,FALSE))</f>
        <v>0</v>
      </c>
      <c r="CT44" s="14">
        <f>IF(CT46=0,0,VLOOKUP('Pro Forma'!CT4,Amortization!$B$13:$E$372,3,FALSE))</f>
        <v>0</v>
      </c>
      <c r="CU44" s="14">
        <f>IF(CU46=0,0,VLOOKUP('Pro Forma'!CU4,Amortization!$B$13:$E$372,3,FALSE))</f>
        <v>0</v>
      </c>
      <c r="CV44" s="14">
        <f>IF(CV46=0,0,VLOOKUP('Pro Forma'!CV4,Amortization!$B$13:$E$372,3,FALSE))</f>
        <v>0</v>
      </c>
      <c r="CW44" s="14">
        <f>IF(CW46=0,0,VLOOKUP('Pro Forma'!CW4,Amortization!$B$13:$E$372,3,FALSE))</f>
        <v>0</v>
      </c>
      <c r="CX44" s="14">
        <f>IF(CX46=0,0,VLOOKUP('Pro Forma'!CX4,Amortization!$B$13:$E$372,3,FALSE))</f>
        <v>0</v>
      </c>
      <c r="CY44" s="14">
        <f>IF(CY46=0,0,VLOOKUP('Pro Forma'!CY4,Amortization!$B$13:$E$372,3,FALSE))</f>
        <v>0</v>
      </c>
      <c r="CZ44" s="14">
        <f>IF(CZ46=0,0,VLOOKUP('Pro Forma'!CZ4,Amortization!$B$13:$E$372,3,FALSE))</f>
        <v>0</v>
      </c>
      <c r="DA44" s="14">
        <f>IF(DA46=0,0,VLOOKUP('Pro Forma'!DA4,Amortization!$B$13:$E$372,3,FALSE))</f>
        <v>0</v>
      </c>
      <c r="DB44" s="14">
        <f>IF(DB46=0,0,VLOOKUP('Pro Forma'!DB4,Amortization!$B$13:$E$372,3,FALSE))</f>
        <v>0</v>
      </c>
      <c r="DC44" s="14">
        <f>IF(DC46=0,0,VLOOKUP('Pro Forma'!DC4,Amortization!$B$13:$E$372,3,FALSE))</f>
        <v>0</v>
      </c>
      <c r="DD44" s="14">
        <f>IF(DD46=0,0,VLOOKUP('Pro Forma'!DD4,Amortization!$B$13:$E$372,3,FALSE))</f>
        <v>0</v>
      </c>
      <c r="DE44" s="14">
        <f>SUM(CS44:DD44)</f>
        <v>0</v>
      </c>
      <c r="DF44" s="14">
        <f>IF(DF46=0,0,VLOOKUP('Pro Forma'!DF4,Amortization!$B$13:$E$372,3,FALSE))</f>
        <v>0</v>
      </c>
      <c r="DG44" s="14">
        <f>IF(DG46=0,0,VLOOKUP('Pro Forma'!DG4,Amortization!$B$13:$E$372,3,FALSE))</f>
        <v>0</v>
      </c>
      <c r="DH44" s="14">
        <f>IF(DH46=0,0,VLOOKUP('Pro Forma'!DH4,Amortization!$B$13:$E$372,3,FALSE))</f>
        <v>0</v>
      </c>
      <c r="DI44" s="14">
        <f>IF(DI46=0,0,VLOOKUP('Pro Forma'!DI4,Amortization!$B$13:$E$372,3,FALSE))</f>
        <v>0</v>
      </c>
      <c r="DJ44" s="14">
        <f>IF(DJ46=0,0,VLOOKUP('Pro Forma'!DJ4,Amortization!$B$13:$E$372,3,FALSE))</f>
        <v>0</v>
      </c>
      <c r="DK44" s="14">
        <f>IF(DK46=0,0,VLOOKUP('Pro Forma'!DK4,Amortization!$B$13:$E$372,3,FALSE))</f>
        <v>0</v>
      </c>
      <c r="DL44" s="14">
        <f>IF(DL46=0,0,VLOOKUP('Pro Forma'!DL4,Amortization!$B$13:$E$372,3,FALSE))</f>
        <v>0</v>
      </c>
      <c r="DM44" s="14">
        <f>IF(DM46=0,0,VLOOKUP('Pro Forma'!DM4,Amortization!$B$13:$E$372,3,FALSE))</f>
        <v>0</v>
      </c>
      <c r="DN44" s="14">
        <f>IF(DN46=0,0,VLOOKUP('Pro Forma'!DN4,Amortization!$B$13:$E$372,3,FALSE))</f>
        <v>0</v>
      </c>
      <c r="DO44" s="14">
        <f>IF(DO46=0,0,VLOOKUP('Pro Forma'!DO4,Amortization!$B$13:$E$372,3,FALSE))</f>
        <v>0</v>
      </c>
      <c r="DP44" s="14">
        <f>IF(DP46=0,0,VLOOKUP('Pro Forma'!DP4,Amortization!$B$13:$E$372,3,FALSE))</f>
        <v>0</v>
      </c>
      <c r="DQ44" s="14">
        <f>IF(DQ46=0,0,VLOOKUP('Pro Forma'!DQ4,Amortization!$B$13:$E$372,3,FALSE))</f>
        <v>0</v>
      </c>
      <c r="DR44" s="14">
        <f>SUM(DF44:DQ44)</f>
        <v>0</v>
      </c>
      <c r="DS44" s="14">
        <f>IF(DS46=0,0,VLOOKUP('Pro Forma'!DS4,Amortization!$B$13:$E$372,3,FALSE))</f>
        <v>0</v>
      </c>
      <c r="DT44" s="14">
        <f>IF(DT46=0,0,VLOOKUP('Pro Forma'!DT4,Amortization!$B$13:$E$372,3,FALSE))</f>
        <v>0</v>
      </c>
      <c r="DU44" s="14">
        <f>IF(DU46=0,0,VLOOKUP('Pro Forma'!DU4,Amortization!$B$13:$E$372,3,FALSE))</f>
        <v>0</v>
      </c>
      <c r="DV44" s="14">
        <f>IF(DV46=0,0,VLOOKUP('Pro Forma'!DV4,Amortization!$B$13:$E$372,3,FALSE))</f>
        <v>0</v>
      </c>
      <c r="DW44" s="14">
        <f>IF(DW46=0,0,VLOOKUP('Pro Forma'!DW4,Amortization!$B$13:$E$372,3,FALSE))</f>
        <v>0</v>
      </c>
      <c r="DX44" s="14">
        <f>IF(DX46=0,0,VLOOKUP('Pro Forma'!DX4,Amortization!$B$13:$E$372,3,FALSE))</f>
        <v>0</v>
      </c>
      <c r="DY44" s="14">
        <f>IF(DY46=0,0,VLOOKUP('Pro Forma'!DY4,Amortization!$B$13:$E$372,3,FALSE))</f>
        <v>0</v>
      </c>
      <c r="DZ44" s="14">
        <f>IF(DZ46=0,0,VLOOKUP('Pro Forma'!DZ4,Amortization!$B$13:$E$372,3,FALSE))</f>
        <v>0</v>
      </c>
      <c r="EA44" s="14">
        <f>IF(EA46=0,0,VLOOKUP('Pro Forma'!EA4,Amortization!$B$13:$E$372,3,FALSE))</f>
        <v>0</v>
      </c>
      <c r="EB44" s="14">
        <f>IF(EB46=0,0,VLOOKUP('Pro Forma'!EB4,Amortization!$B$13:$E$372,3,FALSE))</f>
        <v>0</v>
      </c>
      <c r="EC44" s="14">
        <f>IF(EC46=0,0,VLOOKUP('Pro Forma'!EC4,Amortization!$B$13:$E$372,3,FALSE))</f>
        <v>0</v>
      </c>
      <c r="ED44" s="14">
        <f>IF(ED46=0,0,VLOOKUP('Pro Forma'!ED4,Amortization!$B$13:$E$372,3,FALSE))</f>
        <v>0</v>
      </c>
      <c r="EE44" s="761">
        <f>SUM(DS44:ED44)</f>
        <v>0</v>
      </c>
      <c r="EF44" s="11"/>
      <c r="EG44" s="11"/>
      <c r="EH44" s="11"/>
      <c r="EI44" s="11"/>
    </row>
    <row r="45" spans="2:139">
      <c r="B45" s="187"/>
      <c r="C45" s="1056" t="s">
        <v>215</v>
      </c>
      <c r="D45" s="1056"/>
      <c r="E45" s="1056"/>
      <c r="F45" s="156">
        <f>SUM(F43:F44)</f>
        <v>109615.69067887365</v>
      </c>
      <c r="G45" s="156">
        <f t="shared" ref="G45:Q45" si="369">SUM(G43:G44)</f>
        <v>109615.69067887365</v>
      </c>
      <c r="H45" s="156">
        <f t="shared" si="369"/>
        <v>109615.69067887365</v>
      </c>
      <c r="I45" s="156">
        <f t="shared" si="369"/>
        <v>109615.69067887365</v>
      </c>
      <c r="J45" s="156">
        <f t="shared" si="369"/>
        <v>109615.69067887365</v>
      </c>
      <c r="K45" s="156">
        <f t="shared" si="369"/>
        <v>109615.69067887365</v>
      </c>
      <c r="L45" s="156">
        <f t="shared" si="369"/>
        <v>109615.69067887365</v>
      </c>
      <c r="M45" s="156">
        <f t="shared" si="369"/>
        <v>109615.69067887365</v>
      </c>
      <c r="N45" s="156">
        <f t="shared" si="369"/>
        <v>109615.69067887365</v>
      </c>
      <c r="O45" s="156">
        <f t="shared" si="369"/>
        <v>109615.69067887365</v>
      </c>
      <c r="P45" s="156">
        <f t="shared" si="369"/>
        <v>109615.69067887365</v>
      </c>
      <c r="Q45" s="156">
        <f t="shared" si="369"/>
        <v>109615.69067887365</v>
      </c>
      <c r="R45" s="156">
        <f>SUM(F45:Q45)</f>
        <v>1315388.2881464837</v>
      </c>
      <c r="S45" s="156">
        <f>SUM(S43:S44)</f>
        <v>109615.69067887365</v>
      </c>
      <c r="T45" s="156">
        <f t="shared" ref="T45" si="370">SUM(T43:T44)</f>
        <v>109615.69067887365</v>
      </c>
      <c r="U45" s="156">
        <f t="shared" ref="U45" si="371">SUM(U43:U44)</f>
        <v>109615.69067887365</v>
      </c>
      <c r="V45" s="156">
        <f t="shared" ref="V45" si="372">SUM(V43:V44)</f>
        <v>109615.69067887365</v>
      </c>
      <c r="W45" s="156">
        <f t="shared" ref="W45" si="373">SUM(W43:W44)</f>
        <v>109615.69067887365</v>
      </c>
      <c r="X45" s="156">
        <f t="shared" ref="X45" si="374">SUM(X43:X44)</f>
        <v>109615.69067887365</v>
      </c>
      <c r="Y45" s="156">
        <f t="shared" ref="Y45" si="375">SUM(Y43:Y44)</f>
        <v>109615.69067887365</v>
      </c>
      <c r="Z45" s="156">
        <f t="shared" ref="Z45" si="376">SUM(Z43:Z44)</f>
        <v>109615.69067887365</v>
      </c>
      <c r="AA45" s="156">
        <f t="shared" ref="AA45" si="377">SUM(AA43:AA44)</f>
        <v>109615.69067887365</v>
      </c>
      <c r="AB45" s="156">
        <f t="shared" ref="AB45" si="378">SUM(AB43:AB44)</f>
        <v>109615.69067887365</v>
      </c>
      <c r="AC45" s="156">
        <f t="shared" ref="AC45" si="379">SUM(AC43:AC44)</f>
        <v>109615.69067887365</v>
      </c>
      <c r="AD45" s="156">
        <f t="shared" ref="AD45" si="380">SUM(AD43:AD44)</f>
        <v>109615.69067887365</v>
      </c>
      <c r="AE45" s="156">
        <f>SUM(S45:AD45)</f>
        <v>1315388.2881464837</v>
      </c>
      <c r="AF45" s="156">
        <f>SUM(AF43:AF44)</f>
        <v>109615.69067887365</v>
      </c>
      <c r="AG45" s="156">
        <f t="shared" ref="AG45" si="381">SUM(AG43:AG44)</f>
        <v>109615.69067887365</v>
      </c>
      <c r="AH45" s="156">
        <f t="shared" ref="AH45" si="382">SUM(AH43:AH44)</f>
        <v>109615.69067887365</v>
      </c>
      <c r="AI45" s="156">
        <f t="shared" ref="AI45" si="383">SUM(AI43:AI44)</f>
        <v>109615.69067887365</v>
      </c>
      <c r="AJ45" s="156">
        <f t="shared" ref="AJ45" si="384">SUM(AJ43:AJ44)</f>
        <v>109615.69067887365</v>
      </c>
      <c r="AK45" s="156">
        <f t="shared" ref="AK45" si="385">SUM(AK43:AK44)</f>
        <v>109615.69067887365</v>
      </c>
      <c r="AL45" s="156">
        <f t="shared" ref="AL45" si="386">SUM(AL43:AL44)</f>
        <v>109615.69067887365</v>
      </c>
      <c r="AM45" s="156">
        <f t="shared" ref="AM45" si="387">SUM(AM43:AM44)</f>
        <v>109615.69067887365</v>
      </c>
      <c r="AN45" s="156">
        <f t="shared" ref="AN45" si="388">SUM(AN43:AN44)</f>
        <v>109615.69067887365</v>
      </c>
      <c r="AO45" s="156">
        <f t="shared" ref="AO45" si="389">SUM(AO43:AO44)</f>
        <v>109615.69067887365</v>
      </c>
      <c r="AP45" s="156">
        <f t="shared" ref="AP45" si="390">SUM(AP43:AP44)</f>
        <v>109615.69067887365</v>
      </c>
      <c r="AQ45" s="156">
        <f t="shared" ref="AQ45" si="391">SUM(AQ43:AQ44)</f>
        <v>109615.69067887365</v>
      </c>
      <c r="AR45" s="156">
        <f>SUM(AF45:AQ45)</f>
        <v>1315388.2881464837</v>
      </c>
      <c r="AS45" s="156">
        <f>SUM(AS43:AS44)</f>
        <v>0</v>
      </c>
      <c r="AT45" s="156">
        <f t="shared" ref="AT45" si="392">SUM(AT43:AT44)</f>
        <v>0</v>
      </c>
      <c r="AU45" s="156">
        <f t="shared" ref="AU45" si="393">SUM(AU43:AU44)</f>
        <v>0</v>
      </c>
      <c r="AV45" s="156">
        <f t="shared" ref="AV45" si="394">SUM(AV43:AV44)</f>
        <v>0</v>
      </c>
      <c r="AW45" s="156">
        <f t="shared" ref="AW45" si="395">SUM(AW43:AW44)</f>
        <v>0</v>
      </c>
      <c r="AX45" s="156">
        <f t="shared" ref="AX45" si="396">SUM(AX43:AX44)</f>
        <v>0</v>
      </c>
      <c r="AY45" s="156">
        <f t="shared" ref="AY45" si="397">SUM(AY43:AY44)</f>
        <v>0</v>
      </c>
      <c r="AZ45" s="156">
        <f t="shared" ref="AZ45" si="398">SUM(AZ43:AZ44)</f>
        <v>0</v>
      </c>
      <c r="BA45" s="156">
        <f t="shared" ref="BA45" si="399">SUM(BA43:BA44)</f>
        <v>0</v>
      </c>
      <c r="BB45" s="156">
        <f t="shared" ref="BB45" si="400">SUM(BB43:BB44)</f>
        <v>0</v>
      </c>
      <c r="BC45" s="156">
        <f t="shared" ref="BC45" si="401">SUM(BC43:BC44)</f>
        <v>0</v>
      </c>
      <c r="BD45" s="156">
        <f t="shared" ref="BD45" si="402">SUM(BD43:BD44)</f>
        <v>0</v>
      </c>
      <c r="BE45" s="156">
        <f>SUM(AS45:BD45)</f>
        <v>0</v>
      </c>
      <c r="BF45" s="156">
        <f>SUM(BF43:BF44)</f>
        <v>0</v>
      </c>
      <c r="BG45" s="156">
        <f t="shared" ref="BG45" si="403">SUM(BG43:BG44)</f>
        <v>0</v>
      </c>
      <c r="BH45" s="156">
        <f t="shared" ref="BH45" si="404">SUM(BH43:BH44)</f>
        <v>0</v>
      </c>
      <c r="BI45" s="156">
        <f t="shared" ref="BI45" si="405">SUM(BI43:BI44)</f>
        <v>0</v>
      </c>
      <c r="BJ45" s="156">
        <f t="shared" ref="BJ45" si="406">SUM(BJ43:BJ44)</f>
        <v>0</v>
      </c>
      <c r="BK45" s="156">
        <f t="shared" ref="BK45" si="407">SUM(BK43:BK44)</f>
        <v>0</v>
      </c>
      <c r="BL45" s="156">
        <f t="shared" ref="BL45" si="408">SUM(BL43:BL44)</f>
        <v>0</v>
      </c>
      <c r="BM45" s="156">
        <f t="shared" ref="BM45" si="409">SUM(BM43:BM44)</f>
        <v>0</v>
      </c>
      <c r="BN45" s="156">
        <f t="shared" ref="BN45" si="410">SUM(BN43:BN44)</f>
        <v>0</v>
      </c>
      <c r="BO45" s="156">
        <f t="shared" ref="BO45" si="411">SUM(BO43:BO44)</f>
        <v>0</v>
      </c>
      <c r="BP45" s="156">
        <f t="shared" ref="BP45" si="412">SUM(BP43:BP44)</f>
        <v>0</v>
      </c>
      <c r="BQ45" s="156">
        <f t="shared" ref="BQ45" si="413">SUM(BQ43:BQ44)</f>
        <v>0</v>
      </c>
      <c r="BR45" s="156">
        <f>SUM(BF45:BQ45)</f>
        <v>0</v>
      </c>
      <c r="BS45" s="156">
        <f>SUM(BS43:BS44)</f>
        <v>0</v>
      </c>
      <c r="BT45" s="156">
        <f t="shared" ref="BT45" si="414">SUM(BT43:BT44)</f>
        <v>0</v>
      </c>
      <c r="BU45" s="156">
        <f t="shared" ref="BU45" si="415">SUM(BU43:BU44)</f>
        <v>0</v>
      </c>
      <c r="BV45" s="156">
        <f t="shared" ref="BV45" si="416">SUM(BV43:BV44)</f>
        <v>0</v>
      </c>
      <c r="BW45" s="156">
        <f t="shared" ref="BW45" si="417">SUM(BW43:BW44)</f>
        <v>0</v>
      </c>
      <c r="BX45" s="156">
        <f t="shared" ref="BX45" si="418">SUM(BX43:BX44)</f>
        <v>0</v>
      </c>
      <c r="BY45" s="156">
        <f t="shared" ref="BY45" si="419">SUM(BY43:BY44)</f>
        <v>0</v>
      </c>
      <c r="BZ45" s="156">
        <f t="shared" ref="BZ45" si="420">SUM(BZ43:BZ44)</f>
        <v>0</v>
      </c>
      <c r="CA45" s="156">
        <f t="shared" ref="CA45" si="421">SUM(CA43:CA44)</f>
        <v>0</v>
      </c>
      <c r="CB45" s="156">
        <f t="shared" ref="CB45" si="422">SUM(CB43:CB44)</f>
        <v>0</v>
      </c>
      <c r="CC45" s="156">
        <f t="shared" ref="CC45" si="423">SUM(CC43:CC44)</f>
        <v>0</v>
      </c>
      <c r="CD45" s="156">
        <f t="shared" ref="CD45" si="424">SUM(CD43:CD44)</f>
        <v>0</v>
      </c>
      <c r="CE45" s="156">
        <f>SUM(BS45:CD45)</f>
        <v>0</v>
      </c>
      <c r="CF45" s="156">
        <f>SUM(CF43:CF44)</f>
        <v>0</v>
      </c>
      <c r="CG45" s="156">
        <f t="shared" ref="CG45" si="425">SUM(CG43:CG44)</f>
        <v>0</v>
      </c>
      <c r="CH45" s="156">
        <f t="shared" ref="CH45" si="426">SUM(CH43:CH44)</f>
        <v>0</v>
      </c>
      <c r="CI45" s="156">
        <f t="shared" ref="CI45" si="427">SUM(CI43:CI44)</f>
        <v>0</v>
      </c>
      <c r="CJ45" s="156">
        <f t="shared" ref="CJ45" si="428">SUM(CJ43:CJ44)</f>
        <v>0</v>
      </c>
      <c r="CK45" s="156">
        <f t="shared" ref="CK45" si="429">SUM(CK43:CK44)</f>
        <v>0</v>
      </c>
      <c r="CL45" s="156">
        <f t="shared" ref="CL45" si="430">SUM(CL43:CL44)</f>
        <v>0</v>
      </c>
      <c r="CM45" s="156">
        <f t="shared" ref="CM45" si="431">SUM(CM43:CM44)</f>
        <v>0</v>
      </c>
      <c r="CN45" s="156">
        <f t="shared" ref="CN45" si="432">SUM(CN43:CN44)</f>
        <v>0</v>
      </c>
      <c r="CO45" s="156">
        <f t="shared" ref="CO45" si="433">SUM(CO43:CO44)</f>
        <v>0</v>
      </c>
      <c r="CP45" s="156">
        <f t="shared" ref="CP45" si="434">SUM(CP43:CP44)</f>
        <v>0</v>
      </c>
      <c r="CQ45" s="156">
        <f t="shared" ref="CQ45" si="435">SUM(CQ43:CQ44)</f>
        <v>0</v>
      </c>
      <c r="CR45" s="156">
        <f>SUM(CF45:CQ45)</f>
        <v>0</v>
      </c>
      <c r="CS45" s="156">
        <f>SUM(CS43:CS44)</f>
        <v>0</v>
      </c>
      <c r="CT45" s="156">
        <f t="shared" ref="CT45" si="436">SUM(CT43:CT44)</f>
        <v>0</v>
      </c>
      <c r="CU45" s="156">
        <f t="shared" ref="CU45" si="437">SUM(CU43:CU44)</f>
        <v>0</v>
      </c>
      <c r="CV45" s="156">
        <f t="shared" ref="CV45" si="438">SUM(CV43:CV44)</f>
        <v>0</v>
      </c>
      <c r="CW45" s="156">
        <f t="shared" ref="CW45" si="439">SUM(CW43:CW44)</f>
        <v>0</v>
      </c>
      <c r="CX45" s="156">
        <f t="shared" ref="CX45" si="440">SUM(CX43:CX44)</f>
        <v>0</v>
      </c>
      <c r="CY45" s="156">
        <f t="shared" ref="CY45" si="441">SUM(CY43:CY44)</f>
        <v>0</v>
      </c>
      <c r="CZ45" s="156">
        <f t="shared" ref="CZ45" si="442">SUM(CZ43:CZ44)</f>
        <v>0</v>
      </c>
      <c r="DA45" s="156">
        <f t="shared" ref="DA45" si="443">SUM(DA43:DA44)</f>
        <v>0</v>
      </c>
      <c r="DB45" s="156">
        <f t="shared" ref="DB45" si="444">SUM(DB43:DB44)</f>
        <v>0</v>
      </c>
      <c r="DC45" s="156">
        <f t="shared" ref="DC45" si="445">SUM(DC43:DC44)</f>
        <v>0</v>
      </c>
      <c r="DD45" s="156">
        <f t="shared" ref="DD45" si="446">SUM(DD43:DD44)</f>
        <v>0</v>
      </c>
      <c r="DE45" s="156">
        <f>SUM(CS45:DD45)</f>
        <v>0</v>
      </c>
      <c r="DF45" s="156">
        <f>SUM(DF43:DF44)</f>
        <v>0</v>
      </c>
      <c r="DG45" s="156">
        <f t="shared" ref="DG45" si="447">SUM(DG43:DG44)</f>
        <v>0</v>
      </c>
      <c r="DH45" s="156">
        <f t="shared" ref="DH45" si="448">SUM(DH43:DH44)</f>
        <v>0</v>
      </c>
      <c r="DI45" s="156">
        <f t="shared" ref="DI45" si="449">SUM(DI43:DI44)</f>
        <v>0</v>
      </c>
      <c r="DJ45" s="156">
        <f t="shared" ref="DJ45" si="450">SUM(DJ43:DJ44)</f>
        <v>0</v>
      </c>
      <c r="DK45" s="156">
        <f t="shared" ref="DK45" si="451">SUM(DK43:DK44)</f>
        <v>0</v>
      </c>
      <c r="DL45" s="156">
        <f t="shared" ref="DL45" si="452">SUM(DL43:DL44)</f>
        <v>0</v>
      </c>
      <c r="DM45" s="156">
        <f t="shared" ref="DM45" si="453">SUM(DM43:DM44)</f>
        <v>0</v>
      </c>
      <c r="DN45" s="156">
        <f t="shared" ref="DN45" si="454">SUM(DN43:DN44)</f>
        <v>0</v>
      </c>
      <c r="DO45" s="156">
        <f t="shared" ref="DO45" si="455">SUM(DO43:DO44)</f>
        <v>0</v>
      </c>
      <c r="DP45" s="156">
        <f t="shared" ref="DP45" si="456">SUM(DP43:DP44)</f>
        <v>0</v>
      </c>
      <c r="DQ45" s="156">
        <f t="shared" ref="DQ45" si="457">SUM(DQ43:DQ44)</f>
        <v>0</v>
      </c>
      <c r="DR45" s="156">
        <f>SUM(DF45:DQ45)</f>
        <v>0</v>
      </c>
      <c r="DS45" s="156">
        <f>SUM(DS43:DS44)</f>
        <v>0</v>
      </c>
      <c r="DT45" s="156">
        <f t="shared" ref="DT45" si="458">SUM(DT43:DT44)</f>
        <v>0</v>
      </c>
      <c r="DU45" s="156">
        <f t="shared" ref="DU45" si="459">SUM(DU43:DU44)</f>
        <v>0</v>
      </c>
      <c r="DV45" s="156">
        <f t="shared" ref="DV45" si="460">SUM(DV43:DV44)</f>
        <v>0</v>
      </c>
      <c r="DW45" s="156">
        <f t="shared" ref="DW45" si="461">SUM(DW43:DW44)</f>
        <v>0</v>
      </c>
      <c r="DX45" s="156">
        <f t="shared" ref="DX45" si="462">SUM(DX43:DX44)</f>
        <v>0</v>
      </c>
      <c r="DY45" s="156">
        <f t="shared" ref="DY45" si="463">SUM(DY43:DY44)</f>
        <v>0</v>
      </c>
      <c r="DZ45" s="156">
        <f t="shared" ref="DZ45" si="464">SUM(DZ43:DZ44)</f>
        <v>0</v>
      </c>
      <c r="EA45" s="156">
        <f t="shared" ref="EA45" si="465">SUM(EA43:EA44)</f>
        <v>0</v>
      </c>
      <c r="EB45" s="156">
        <f t="shared" ref="EB45" si="466">SUM(EB43:EB44)</f>
        <v>0</v>
      </c>
      <c r="EC45" s="156">
        <f t="shared" ref="EC45" si="467">SUM(EC43:EC44)</f>
        <v>0</v>
      </c>
      <c r="ED45" s="156">
        <f t="shared" ref="ED45" si="468">SUM(ED43:ED44)</f>
        <v>0</v>
      </c>
      <c r="EE45" s="243">
        <f>SUM(DS45:ED45)</f>
        <v>0</v>
      </c>
      <c r="EF45" s="11"/>
      <c r="EG45" s="11"/>
      <c r="EH45" s="11"/>
      <c r="EI45" s="11"/>
    </row>
    <row r="46" spans="2:139">
      <c r="B46" s="760"/>
      <c r="C46" t="s">
        <v>312</v>
      </c>
      <c r="D46" s="1101"/>
      <c r="E46" s="1101"/>
      <c r="F46" s="14">
        <f>IF(F51&gt;0,MAX(VLOOKUP('Pro Forma'!F4,Amortization!$B$14:$E$373,4,FALSE)-Amortization!$I$6,0),VLOOKUP('Pro Forma'!F4,Amortization!$B$14:$E$373,4,FALSE))</f>
        <v>23205914.309321132</v>
      </c>
      <c r="G46" s="14">
        <f>IF(G51&gt;0,MAX(VLOOKUP('Pro Forma'!G4,Amortization!$B$14:$E$373,4,FALSE)-Amortization!$I$6,0),VLOOKUP('Pro Forma'!G4,Amortization!$B$14:$E$373,4,FALSE))</f>
        <v>23171717.840147551</v>
      </c>
      <c r="H46" s="14">
        <f>IF(H51&gt;0,MAX(VLOOKUP('Pro Forma'!H4,Amortization!$B$14:$E$373,4,FALSE)-Amortization!$I$6,0),VLOOKUP('Pro Forma'!H4,Amortization!$B$14:$E$373,4,FALSE))</f>
        <v>23137410.232449155</v>
      </c>
      <c r="I46" s="14">
        <f>IF(I51&gt;0,MAX(VLOOKUP('Pro Forma'!I4,Amortization!$B$14:$E$373,4,FALSE)-Amortization!$I$6,0),VLOOKUP('Pro Forma'!I4,Amortization!$B$14:$E$373,4,FALSE))</f>
        <v>23102991.125025742</v>
      </c>
      <c r="J46" s="14">
        <f>IF(J51&gt;0,MAX(VLOOKUP('Pro Forma'!J4,Amortization!$B$14:$E$373,4,FALSE)-Amortization!$I$6,0),VLOOKUP('Pro Forma'!J4,Amortization!$B$14:$E$373,4,FALSE))</f>
        <v>23068460.155503202</v>
      </c>
      <c r="K46" s="14">
        <f>IF(K51&gt;0,MAX(VLOOKUP('Pro Forma'!K4,Amortization!$B$14:$E$373,4,FALSE)-Amortization!$I$6,0),VLOOKUP('Pro Forma'!K4,Amortization!$B$14:$E$373,4,FALSE))</f>
        <v>23033816.960329715</v>
      </c>
      <c r="L46" s="14">
        <f>IF(L51&gt;0,MAX(VLOOKUP('Pro Forma'!L4,Amortization!$B$14:$E$373,4,FALSE)-Amortization!$I$6,0),VLOOKUP('Pro Forma'!L4,Amortization!$B$14:$E$373,4,FALSE))</f>
        <v>22999061.174771912</v>
      </c>
      <c r="M46" s="14">
        <f>IF(M51&gt;0,MAX(VLOOKUP('Pro Forma'!M4,Amortization!$B$14:$E$373,4,FALSE)-Amortization!$I$6,0),VLOOKUP('Pro Forma'!M4,Amortization!$B$14:$E$373,4,FALSE))</f>
        <v>22964192.432911046</v>
      </c>
      <c r="N46" s="14">
        <f>IF(N51&gt;0,MAX(VLOOKUP('Pro Forma'!N4,Amortization!$B$14:$E$373,4,FALSE)-Amortization!$I$6,0),VLOOKUP('Pro Forma'!N4,Amortization!$B$14:$E$373,4,FALSE))</f>
        <v>22929210.367639132</v>
      </c>
      <c r="O46" s="14">
        <f>IF(O51&gt;0,MAX(VLOOKUP('Pro Forma'!O4,Amortization!$B$14:$E$373,4,FALSE)-Amortization!$I$6,0),VLOOKUP('Pro Forma'!O4,Amortization!$B$14:$E$373,4,FALSE))</f>
        <v>22894114.610655084</v>
      </c>
      <c r="P46" s="14">
        <f>IF(P51&gt;0,MAX(VLOOKUP('Pro Forma'!P4,Amortization!$B$14:$E$373,4,FALSE)-Amortization!$I$6,0),VLOOKUP('Pro Forma'!P4,Amortization!$B$14:$E$373,4,FALSE))</f>
        <v>22858904.79246084</v>
      </c>
      <c r="Q46" s="14">
        <f>IF(Q51&gt;0,MAX(VLOOKUP('Pro Forma'!Q4,Amortization!$B$14:$E$373,4,FALSE)-Amortization!$I$6,0),VLOOKUP('Pro Forma'!Q4,Amortization!$B$14:$E$373,4,FALSE))</f>
        <v>22823580.542357463</v>
      </c>
      <c r="R46" s="14">
        <f>Q46</f>
        <v>22823580.542357463</v>
      </c>
      <c r="S46" s="14">
        <f>IF(S51&gt;0,MAX(VLOOKUP('Pro Forma'!S4,Amortization!$B$14:$E$373,4,FALSE)-Amortization!$I$6,0),VLOOKUP('Pro Forma'!S4,Amortization!$B$14:$E$373,4,FALSE))</f>
        <v>22788141.488441251</v>
      </c>
      <c r="T46" s="14">
        <f>IF(T51&gt;0,MAX(VLOOKUP('Pro Forma'!T4,Amortization!$B$14:$E$373,4,FALSE)-Amortization!$I$6,0),VLOOKUP('Pro Forma'!T4,Amortization!$B$14:$E$373,4,FALSE))</f>
        <v>22752587.257599812</v>
      </c>
      <c r="U46" s="14">
        <f>IF(U51&gt;0,MAX(VLOOKUP('Pro Forma'!U4,Amortization!$B$14:$E$373,4,FALSE)-Amortization!$I$6,0),VLOOKUP('Pro Forma'!U4,Amortization!$B$14:$E$373,4,FALSE))</f>
        <v>22716917.475508139</v>
      </c>
      <c r="V46" s="14">
        <f>IF(V51&gt;0,MAX(VLOOKUP('Pro Forma'!V4,Amortization!$B$14:$E$373,4,FALSE)-Amortization!$I$6,0),VLOOKUP('Pro Forma'!V4,Amortization!$B$14:$E$373,4,FALSE))</f>
        <v>22681131.766624667</v>
      </c>
      <c r="W46" s="14">
        <f>IF(W51&gt;0,MAX(VLOOKUP('Pro Forma'!W4,Amortization!$B$14:$E$373,4,FALSE)-Amortization!$I$6,0),VLOOKUP('Pro Forma'!W4,Amortization!$B$14:$E$373,4,FALSE))</f>
        <v>22645229.754187323</v>
      </c>
      <c r="X46" s="14">
        <f>IF(X51&gt;0,MAX(VLOOKUP('Pro Forma'!X4,Amortization!$B$14:$E$373,4,FALSE)-Amortization!$I$6,0),VLOOKUP('Pro Forma'!X4,Amortization!$B$14:$E$373,4,FALSE))</f>
        <v>22609211.060209557</v>
      </c>
      <c r="Y46" s="14">
        <f>IF(Y51&gt;0,MAX(VLOOKUP('Pro Forma'!Y4,Amortization!$B$14:$E$373,4,FALSE)-Amortization!$I$6,0),VLOOKUP('Pro Forma'!Y4,Amortization!$B$14:$E$373,4,FALSE))</f>
        <v>22573075.305476364</v>
      </c>
      <c r="Z46" s="14">
        <f>IF(Z51&gt;0,MAX(VLOOKUP('Pro Forma'!Z4,Amortization!$B$14:$E$373,4,FALSE)-Amortization!$I$6,0),VLOOKUP('Pro Forma'!Z4,Amortization!$B$14:$E$373,4,FALSE))</f>
        <v>22536822.109540287</v>
      </c>
      <c r="AA46" s="14">
        <f>IF(AA51&gt;0,MAX(VLOOKUP('Pro Forma'!AA4,Amortization!$B$14:$E$373,4,FALSE)-Amortization!$I$6,0),VLOOKUP('Pro Forma'!AA4,Amortization!$B$14:$E$373,4,FALSE))</f>
        <v>22500451.09071742</v>
      </c>
      <c r="AB46" s="14">
        <f>IF(AB51&gt;0,MAX(VLOOKUP('Pro Forma'!AB4,Amortization!$B$14:$E$373,4,FALSE)-Amortization!$I$6,0),VLOOKUP('Pro Forma'!AB4,Amortization!$B$14:$E$373,4,FALSE))</f>
        <v>22463961.866083376</v>
      </c>
      <c r="AC46" s="14">
        <f>IF(AC51&gt;0,MAX(VLOOKUP('Pro Forma'!AC4,Amortization!$B$14:$E$373,4,FALSE)-Amortization!$I$6,0),VLOOKUP('Pro Forma'!AC4,Amortization!$B$14:$E$373,4,FALSE))</f>
        <v>22427354.051469274</v>
      </c>
      <c r="AD46" s="14">
        <f>IF(AD51&gt;0,MAX(VLOOKUP('Pro Forma'!AD4,Amortization!$B$14:$E$373,4,FALSE)-Amortization!$I$6,0),VLOOKUP('Pro Forma'!AD4,Amortization!$B$14:$E$373,4,FALSE))</f>
        <v>22390627.261457674</v>
      </c>
      <c r="AE46" s="14">
        <f>AD46</f>
        <v>22390627.261457674</v>
      </c>
      <c r="AF46" s="14">
        <f>IF(AF51&gt;0,MAX(VLOOKUP('Pro Forma'!AF4,Amortization!$B$14:$E$373,4,FALSE)-Amortization!$I$6,0),VLOOKUP('Pro Forma'!AF4,Amortization!$B$14:$E$373,4,FALSE))</f>
        <v>22353781.109378539</v>
      </c>
      <c r="AG46" s="14">
        <f>IF(AG51&gt;0,MAX(VLOOKUP('Pro Forma'!AG4,Amortization!$B$14:$E$373,4,FALSE)-Amortization!$I$6,0),VLOOKUP('Pro Forma'!AG4,Amortization!$B$14:$E$373,4,FALSE))</f>
        <v>22316815.207305145</v>
      </c>
      <c r="AH46" s="14">
        <f>IF(AH51&gt;0,MAX(VLOOKUP('Pro Forma'!AH4,Amortization!$B$14:$E$373,4,FALSE)-Amortization!$I$6,0),VLOOKUP('Pro Forma'!AH4,Amortization!$B$14:$E$373,4,FALSE))</f>
        <v>22279729.166050013</v>
      </c>
      <c r="AI46" s="14">
        <f>IF(AI51&gt;0,MAX(VLOOKUP('Pro Forma'!AI4,Amortization!$B$14:$E$373,4,FALSE)-Amortization!$I$6,0),VLOOKUP('Pro Forma'!AI4,Amortization!$B$14:$E$373,4,FALSE))</f>
        <v>22242522.595160801</v>
      </c>
      <c r="AJ46" s="14">
        <f>IF(AJ51&gt;0,MAX(VLOOKUP('Pro Forma'!AJ4,Amortization!$B$14:$E$373,4,FALSE)-Amortization!$I$6,0),VLOOKUP('Pro Forma'!AJ4,Amortization!$B$14:$E$373,4,FALSE))</f>
        <v>22205195.1029162</v>
      </c>
      <c r="AK46" s="14">
        <f>IF(AK51&gt;0,MAX(VLOOKUP('Pro Forma'!AK4,Amortization!$B$14:$E$373,4,FALSE)-Amortization!$I$6,0),VLOOKUP('Pro Forma'!AK4,Amortization!$B$14:$E$373,4,FALSE))</f>
        <v>22167746.296321806</v>
      </c>
      <c r="AL46" s="14">
        <f>IF(AL51&gt;0,MAX(VLOOKUP('Pro Forma'!AL4,Amortization!$B$14:$E$373,4,FALSE)-Amortization!$I$6,0),VLOOKUP('Pro Forma'!AL4,Amortization!$B$14:$E$373,4,FALSE))</f>
        <v>22130175.781105977</v>
      </c>
      <c r="AM46" s="14">
        <f>IF(AM51&gt;0,MAX(VLOOKUP('Pro Forma'!AM4,Amortization!$B$14:$E$373,4,FALSE)-Amortization!$I$6,0),VLOOKUP('Pro Forma'!AM4,Amortization!$B$14:$E$373,4,FALSE))</f>
        <v>22092483.161715697</v>
      </c>
      <c r="AN46" s="14">
        <f>IF(AN51&gt;0,MAX(VLOOKUP('Pro Forma'!AN4,Amortization!$B$14:$E$373,4,FALSE)-Amortization!$I$6,0),VLOOKUP('Pro Forma'!AN4,Amortization!$B$14:$E$373,4,FALSE))</f>
        <v>22054668.0413124</v>
      </c>
      <c r="AO46" s="14">
        <f>IF(AO51&gt;0,MAX(VLOOKUP('Pro Forma'!AO4,Amortization!$B$14:$E$373,4,FALSE)-Amortization!$I$6,0),VLOOKUP('Pro Forma'!AO4,Amortization!$B$14:$E$373,4,FALSE))</f>
        <v>22016730.021767791</v>
      </c>
      <c r="AP46" s="14">
        <f>IF(AP51&gt;0,MAX(VLOOKUP('Pro Forma'!AP4,Amortization!$B$14:$E$373,4,FALSE)-Amortization!$I$6,0),VLOOKUP('Pro Forma'!AP4,Amortization!$B$14:$E$373,4,FALSE))</f>
        <v>21978668.703659665</v>
      </c>
      <c r="AQ46" s="14">
        <f>IF(AQ51&gt;0,MAX(VLOOKUP('Pro Forma'!AQ4,Amortization!$B$14:$E$373,4,FALSE)-Amortization!$I$6,0),VLOOKUP('Pro Forma'!AQ4,Amortization!$B$14:$E$373,4,FALSE))</f>
        <v>21940483.686267685</v>
      </c>
      <c r="AR46" s="14">
        <f>AQ46</f>
        <v>21940483.686267685</v>
      </c>
      <c r="AS46" s="14">
        <f>IF(AS51&gt;0,MAX(VLOOKUP('Pro Forma'!AS4,Amortization!$B$14:$E$373,4,FALSE)-Amortization!$I$6,0),VLOOKUP('Pro Forma'!AS4,Amortization!$B$14:$E$373,4,FALSE))</f>
        <v>0</v>
      </c>
      <c r="AT46" s="14">
        <f>IF(AT51&gt;0,MAX(VLOOKUP('Pro Forma'!AT4,Amortization!$B$14:$E$373,4,FALSE)-Amortization!$I$6,0),VLOOKUP('Pro Forma'!AT4,Amortization!$B$14:$E$373,4,FALSE))</f>
        <v>0</v>
      </c>
      <c r="AU46" s="14">
        <f>IF(AU51&gt;0,MAX(VLOOKUP('Pro Forma'!AU4,Amortization!$B$14:$E$373,4,FALSE)-Amortization!$I$6,0),VLOOKUP('Pro Forma'!AU4,Amortization!$B$14:$E$373,4,FALSE))</f>
        <v>0</v>
      </c>
      <c r="AV46" s="14">
        <f>IF(AV51&gt;0,MAX(VLOOKUP('Pro Forma'!AV4,Amortization!$B$14:$E$373,4,FALSE)-Amortization!$I$6,0),VLOOKUP('Pro Forma'!AV4,Amortization!$B$14:$E$373,4,FALSE))</f>
        <v>0</v>
      </c>
      <c r="AW46" s="14">
        <f>IF(AW51&gt;0,MAX(VLOOKUP('Pro Forma'!AW4,Amortization!$B$14:$E$373,4,FALSE)-Amortization!$I$6,0),VLOOKUP('Pro Forma'!AW4,Amortization!$B$14:$E$373,4,FALSE))</f>
        <v>0</v>
      </c>
      <c r="AX46" s="14">
        <f>IF(AX51&gt;0,MAX(VLOOKUP('Pro Forma'!AX4,Amortization!$B$14:$E$373,4,FALSE)-Amortization!$I$6,0),VLOOKUP('Pro Forma'!AX4,Amortization!$B$14:$E$373,4,FALSE))</f>
        <v>0</v>
      </c>
      <c r="AY46" s="14">
        <f>IF(AY51&gt;0,MAX(VLOOKUP('Pro Forma'!AY4,Amortization!$B$14:$E$373,4,FALSE)-Amortization!$I$6,0),VLOOKUP('Pro Forma'!AY4,Amortization!$B$14:$E$373,4,FALSE))</f>
        <v>0</v>
      </c>
      <c r="AZ46" s="14">
        <f>IF(AZ51&gt;0,MAX(VLOOKUP('Pro Forma'!AZ4,Amortization!$B$14:$E$373,4,FALSE)-Amortization!$I$6,0),VLOOKUP('Pro Forma'!AZ4,Amortization!$B$14:$E$373,4,FALSE))</f>
        <v>0</v>
      </c>
      <c r="BA46" s="14">
        <f>IF(BA51&gt;0,MAX(VLOOKUP('Pro Forma'!BA4,Amortization!$B$14:$E$373,4,FALSE)-Amortization!$I$6,0),VLOOKUP('Pro Forma'!BA4,Amortization!$B$14:$E$373,4,FALSE))</f>
        <v>0</v>
      </c>
      <c r="BB46" s="14">
        <f>IF(BB51&gt;0,MAX(VLOOKUP('Pro Forma'!BB4,Amortization!$B$14:$E$373,4,FALSE)-Amortization!$I$6,0),VLOOKUP('Pro Forma'!BB4,Amortization!$B$14:$E$373,4,FALSE))</f>
        <v>0</v>
      </c>
      <c r="BC46" s="14">
        <f>IF(BC51&gt;0,MAX(VLOOKUP('Pro Forma'!BC4,Amortization!$B$14:$E$373,4,FALSE)-Amortization!$I$6,0),VLOOKUP('Pro Forma'!BC4,Amortization!$B$14:$E$373,4,FALSE))</f>
        <v>0</v>
      </c>
      <c r="BD46" s="14">
        <f>IF(BD51&gt;0,MAX(VLOOKUP('Pro Forma'!BD4,Amortization!$B$14:$E$373,4,FALSE)-Amortization!$I$6,0),VLOOKUP('Pro Forma'!BD4,Amortization!$B$14:$E$373,4,FALSE))</f>
        <v>0</v>
      </c>
      <c r="BE46" s="14">
        <f>BD46</f>
        <v>0</v>
      </c>
      <c r="BF46" s="14">
        <f>IF(BF51&gt;0,MAX(VLOOKUP('Pro Forma'!BF4,Amortization!$B$14:$E$373,4,FALSE)-Amortization!$I$6,0),VLOOKUP('Pro Forma'!BF4,Amortization!$B$14:$E$373,4,FALSE))</f>
        <v>0</v>
      </c>
      <c r="BG46" s="14">
        <f>IF(BG51&gt;0,MAX(VLOOKUP('Pro Forma'!BG4,Amortization!$B$14:$E$373,4,FALSE)-Amortization!$I$6,0),VLOOKUP('Pro Forma'!BG4,Amortization!$B$14:$E$373,4,FALSE))</f>
        <v>0</v>
      </c>
      <c r="BH46" s="14">
        <f>IF(BH51&gt;0,MAX(VLOOKUP('Pro Forma'!BH4,Amortization!$B$14:$E$373,4,FALSE)-Amortization!$I$6,0),VLOOKUP('Pro Forma'!BH4,Amortization!$B$14:$E$373,4,FALSE))</f>
        <v>0</v>
      </c>
      <c r="BI46" s="14">
        <f>IF(BI51&gt;0,MAX(VLOOKUP('Pro Forma'!BI4,Amortization!$B$14:$E$373,4,FALSE)-Amortization!$I$6,0),VLOOKUP('Pro Forma'!BI4,Amortization!$B$14:$E$373,4,FALSE))</f>
        <v>0</v>
      </c>
      <c r="BJ46" s="14">
        <f>IF(BJ51&gt;0,MAX(VLOOKUP('Pro Forma'!BJ4,Amortization!$B$14:$E$373,4,FALSE)-Amortization!$I$6,0),VLOOKUP('Pro Forma'!BJ4,Amortization!$B$14:$E$373,4,FALSE))</f>
        <v>0</v>
      </c>
      <c r="BK46" s="14">
        <f>IF(BK51&gt;0,MAX(VLOOKUP('Pro Forma'!BK4,Amortization!$B$14:$E$373,4,FALSE)-Amortization!$I$6,0),VLOOKUP('Pro Forma'!BK4,Amortization!$B$14:$E$373,4,FALSE))</f>
        <v>0</v>
      </c>
      <c r="BL46" s="14">
        <f>IF(BL51&gt;0,MAX(VLOOKUP('Pro Forma'!BL4,Amortization!$B$14:$E$373,4,FALSE)-Amortization!$I$6,0),VLOOKUP('Pro Forma'!BL4,Amortization!$B$14:$E$373,4,FALSE))</f>
        <v>0</v>
      </c>
      <c r="BM46" s="14">
        <f>IF(BM51&gt;0,MAX(VLOOKUP('Pro Forma'!BM4,Amortization!$B$14:$E$373,4,FALSE)-Amortization!$I$6,0),VLOOKUP('Pro Forma'!BM4,Amortization!$B$14:$E$373,4,FALSE))</f>
        <v>0</v>
      </c>
      <c r="BN46" s="14">
        <f>IF(BN51&gt;0,MAX(VLOOKUP('Pro Forma'!BN4,Amortization!$B$14:$E$373,4,FALSE)-Amortization!$I$6,0),VLOOKUP('Pro Forma'!BN4,Amortization!$B$14:$E$373,4,FALSE))</f>
        <v>0</v>
      </c>
      <c r="BO46" s="14">
        <f>IF(BO51&gt;0,MAX(VLOOKUP('Pro Forma'!BO4,Amortization!$B$14:$E$373,4,FALSE)-Amortization!$I$6,0),VLOOKUP('Pro Forma'!BO4,Amortization!$B$14:$E$373,4,FALSE))</f>
        <v>0</v>
      </c>
      <c r="BP46" s="14">
        <f>IF(BP51&gt;0,MAX(VLOOKUP('Pro Forma'!BP4,Amortization!$B$14:$E$373,4,FALSE)-Amortization!$I$6,0),VLOOKUP('Pro Forma'!BP4,Amortization!$B$14:$E$373,4,FALSE))</f>
        <v>0</v>
      </c>
      <c r="BQ46" s="14">
        <f>IF(BQ51&gt;0,MAX(VLOOKUP('Pro Forma'!BQ4,Amortization!$B$14:$E$373,4,FALSE)-Amortization!$I$6,0),VLOOKUP('Pro Forma'!BQ4,Amortization!$B$14:$E$373,4,FALSE))</f>
        <v>0</v>
      </c>
      <c r="BR46" s="14">
        <f>BQ46</f>
        <v>0</v>
      </c>
      <c r="BS46" s="14">
        <f>IF(BS51&gt;0,MAX(VLOOKUP('Pro Forma'!BS4,Amortization!$B$14:$E$373,4,FALSE)-Amortization!$I$6,0),VLOOKUP('Pro Forma'!BS4,Amortization!$B$14:$E$373,4,FALSE))</f>
        <v>0</v>
      </c>
      <c r="BT46" s="14">
        <f>IF(BT51&gt;0,MAX(VLOOKUP('Pro Forma'!BT4,Amortization!$B$14:$E$373,4,FALSE)-Amortization!$I$6,0),VLOOKUP('Pro Forma'!BT4,Amortization!$B$14:$E$373,4,FALSE))</f>
        <v>0</v>
      </c>
      <c r="BU46" s="14">
        <f>IF(BU51&gt;0,MAX(VLOOKUP('Pro Forma'!BU4,Amortization!$B$14:$E$373,4,FALSE)-Amortization!$I$6,0),VLOOKUP('Pro Forma'!BU4,Amortization!$B$14:$E$373,4,FALSE))</f>
        <v>0</v>
      </c>
      <c r="BV46" s="14">
        <f>IF(BV51&gt;0,MAX(VLOOKUP('Pro Forma'!BV4,Amortization!$B$14:$E$373,4,FALSE)-Amortization!$I$6,0),VLOOKUP('Pro Forma'!BV4,Amortization!$B$14:$E$373,4,FALSE))</f>
        <v>0</v>
      </c>
      <c r="BW46" s="14">
        <f>IF(BW51&gt;0,MAX(VLOOKUP('Pro Forma'!BW4,Amortization!$B$14:$E$373,4,FALSE)-Amortization!$I$6,0),VLOOKUP('Pro Forma'!BW4,Amortization!$B$14:$E$373,4,FALSE))</f>
        <v>0</v>
      </c>
      <c r="BX46" s="14">
        <f>IF(BX51&gt;0,MAX(VLOOKUP('Pro Forma'!BX4,Amortization!$B$14:$E$373,4,FALSE)-Amortization!$I$6,0),VLOOKUP('Pro Forma'!BX4,Amortization!$B$14:$E$373,4,FALSE))</f>
        <v>0</v>
      </c>
      <c r="BY46" s="14">
        <f>IF(BY51&gt;0,MAX(VLOOKUP('Pro Forma'!BY4,Amortization!$B$14:$E$373,4,FALSE)-Amortization!$I$6,0),VLOOKUP('Pro Forma'!BY4,Amortization!$B$14:$E$373,4,FALSE))</f>
        <v>0</v>
      </c>
      <c r="BZ46" s="14">
        <f>IF(BZ51&gt;0,MAX(VLOOKUP('Pro Forma'!BZ4,Amortization!$B$14:$E$373,4,FALSE)-Amortization!$I$6,0),VLOOKUP('Pro Forma'!BZ4,Amortization!$B$14:$E$373,4,FALSE))</f>
        <v>0</v>
      </c>
      <c r="CA46" s="14">
        <f>IF(CA51&gt;0,MAX(VLOOKUP('Pro Forma'!CA4,Amortization!$B$14:$E$373,4,FALSE)-Amortization!$I$6,0),VLOOKUP('Pro Forma'!CA4,Amortization!$B$14:$E$373,4,FALSE))</f>
        <v>0</v>
      </c>
      <c r="CB46" s="14">
        <f>IF(CB51&gt;0,MAX(VLOOKUP('Pro Forma'!CB4,Amortization!$B$14:$E$373,4,FALSE)-Amortization!$I$6,0),VLOOKUP('Pro Forma'!CB4,Amortization!$B$14:$E$373,4,FALSE))</f>
        <v>0</v>
      </c>
      <c r="CC46" s="14">
        <f>IF(CC51&gt;0,MAX(VLOOKUP('Pro Forma'!CC4,Amortization!$B$14:$E$373,4,FALSE)-Amortization!$I$6,0),VLOOKUP('Pro Forma'!CC4,Amortization!$B$14:$E$373,4,FALSE))</f>
        <v>0</v>
      </c>
      <c r="CD46" s="14">
        <f>IF(CD51&gt;0,MAX(VLOOKUP('Pro Forma'!CD4,Amortization!$B$14:$E$373,4,FALSE)-Amortization!$I$6,0),VLOOKUP('Pro Forma'!CD4,Amortization!$B$14:$E$373,4,FALSE))</f>
        <v>0</v>
      </c>
      <c r="CE46" s="14">
        <f>CD46</f>
        <v>0</v>
      </c>
      <c r="CF46" s="14">
        <f>IF(CF51&gt;0,MAX(VLOOKUP('Pro Forma'!CF4,Amortization!$B$14:$E$373,4,FALSE)-Amortization!$I$6,0),VLOOKUP('Pro Forma'!CF4,Amortization!$B$14:$E$373,4,FALSE))</f>
        <v>0</v>
      </c>
      <c r="CG46" s="14">
        <f>IF(CG51&gt;0,MAX(VLOOKUP('Pro Forma'!CG4,Amortization!$B$14:$E$373,4,FALSE)-Amortization!$I$6,0),VLOOKUP('Pro Forma'!CG4,Amortization!$B$14:$E$373,4,FALSE))</f>
        <v>0</v>
      </c>
      <c r="CH46" s="14">
        <f>IF(CH51&gt;0,MAX(VLOOKUP('Pro Forma'!CH4,Amortization!$B$14:$E$373,4,FALSE)-Amortization!$I$6,0),VLOOKUP('Pro Forma'!CH4,Amortization!$B$14:$E$373,4,FALSE))</f>
        <v>0</v>
      </c>
      <c r="CI46" s="14">
        <f>IF(CI51&gt;0,MAX(VLOOKUP('Pro Forma'!CI4,Amortization!$B$14:$E$373,4,FALSE)-Amortization!$I$6,0),VLOOKUP('Pro Forma'!CI4,Amortization!$B$14:$E$373,4,FALSE))</f>
        <v>0</v>
      </c>
      <c r="CJ46" s="14">
        <f>IF(CJ51&gt;0,MAX(VLOOKUP('Pro Forma'!CJ4,Amortization!$B$14:$E$373,4,FALSE)-Amortization!$I$6,0),VLOOKUP('Pro Forma'!CJ4,Amortization!$B$14:$E$373,4,FALSE))</f>
        <v>0</v>
      </c>
      <c r="CK46" s="14">
        <f>IF(CK51&gt;0,MAX(VLOOKUP('Pro Forma'!CK4,Amortization!$B$14:$E$373,4,FALSE)-Amortization!$I$6,0),VLOOKUP('Pro Forma'!CK4,Amortization!$B$14:$E$373,4,FALSE))</f>
        <v>0</v>
      </c>
      <c r="CL46" s="14">
        <f>IF(CL51&gt;0,MAX(VLOOKUP('Pro Forma'!CL4,Amortization!$B$14:$E$373,4,FALSE)-Amortization!$I$6,0),VLOOKUP('Pro Forma'!CL4,Amortization!$B$14:$E$373,4,FALSE))</f>
        <v>0</v>
      </c>
      <c r="CM46" s="14">
        <f>IF(CM51&gt;0,MAX(VLOOKUP('Pro Forma'!CM4,Amortization!$B$14:$E$373,4,FALSE)-Amortization!$I$6,0),VLOOKUP('Pro Forma'!CM4,Amortization!$B$14:$E$373,4,FALSE))</f>
        <v>0</v>
      </c>
      <c r="CN46" s="14">
        <f>IF(CN51&gt;0,MAX(VLOOKUP('Pro Forma'!CN4,Amortization!$B$14:$E$373,4,FALSE)-Amortization!$I$6,0),VLOOKUP('Pro Forma'!CN4,Amortization!$B$14:$E$373,4,FALSE))</f>
        <v>0</v>
      </c>
      <c r="CO46" s="14">
        <f>IF(CO51&gt;0,MAX(VLOOKUP('Pro Forma'!CO4,Amortization!$B$14:$E$373,4,FALSE)-Amortization!$I$6,0),VLOOKUP('Pro Forma'!CO4,Amortization!$B$14:$E$373,4,FALSE))</f>
        <v>0</v>
      </c>
      <c r="CP46" s="14">
        <f>IF(CP51&gt;0,MAX(VLOOKUP('Pro Forma'!CP4,Amortization!$B$14:$E$373,4,FALSE)-Amortization!$I$6,0),VLOOKUP('Pro Forma'!CP4,Amortization!$B$14:$E$373,4,FALSE))</f>
        <v>0</v>
      </c>
      <c r="CQ46" s="14">
        <f>IF(CQ51&gt;0,MAX(VLOOKUP('Pro Forma'!CQ4,Amortization!$B$14:$E$373,4,FALSE)-Amortization!$I$6,0),VLOOKUP('Pro Forma'!CQ4,Amortization!$B$14:$E$373,4,FALSE))</f>
        <v>0</v>
      </c>
      <c r="CR46" s="14">
        <f>CQ46</f>
        <v>0</v>
      </c>
      <c r="CS46" s="14">
        <f>IF(CS51&gt;0,MAX(VLOOKUP('Pro Forma'!CS4,Amortization!$B$14:$E$373,4,FALSE)-Amortization!$I$6,0),VLOOKUP('Pro Forma'!CS4,Amortization!$B$14:$E$373,4,FALSE))</f>
        <v>0</v>
      </c>
      <c r="CT46" s="14">
        <f>IF(CT51&gt;0,MAX(VLOOKUP('Pro Forma'!CT4,Amortization!$B$14:$E$373,4,FALSE)-Amortization!$I$6,0),VLOOKUP('Pro Forma'!CT4,Amortization!$B$14:$E$373,4,FALSE))</f>
        <v>0</v>
      </c>
      <c r="CU46" s="14">
        <f>IF(CU51&gt;0,MAX(VLOOKUP('Pro Forma'!CU4,Amortization!$B$14:$E$373,4,FALSE)-Amortization!$I$6,0),VLOOKUP('Pro Forma'!CU4,Amortization!$B$14:$E$373,4,FALSE))</f>
        <v>0</v>
      </c>
      <c r="CV46" s="14">
        <f>IF(CV51&gt;0,MAX(VLOOKUP('Pro Forma'!CV4,Amortization!$B$14:$E$373,4,FALSE)-Amortization!$I$6,0),VLOOKUP('Pro Forma'!CV4,Amortization!$B$14:$E$373,4,FALSE))</f>
        <v>0</v>
      </c>
      <c r="CW46" s="14">
        <f>IF(CW51&gt;0,MAX(VLOOKUP('Pro Forma'!CW4,Amortization!$B$14:$E$373,4,FALSE)-Amortization!$I$6,0),VLOOKUP('Pro Forma'!CW4,Amortization!$B$14:$E$373,4,FALSE))</f>
        <v>0</v>
      </c>
      <c r="CX46" s="14">
        <f>IF(CX51&gt;0,MAX(VLOOKUP('Pro Forma'!CX4,Amortization!$B$14:$E$373,4,FALSE)-Amortization!$I$6,0),VLOOKUP('Pro Forma'!CX4,Amortization!$B$14:$E$373,4,FALSE))</f>
        <v>0</v>
      </c>
      <c r="CY46" s="14">
        <f>IF(CY51&gt;0,MAX(VLOOKUP('Pro Forma'!CY4,Amortization!$B$14:$E$373,4,FALSE)-Amortization!$I$6,0),VLOOKUP('Pro Forma'!CY4,Amortization!$B$14:$E$373,4,FALSE))</f>
        <v>0</v>
      </c>
      <c r="CZ46" s="14">
        <f>IF(CZ51&gt;0,MAX(VLOOKUP('Pro Forma'!CZ4,Amortization!$B$14:$E$373,4,FALSE)-Amortization!$I$6,0),VLOOKUP('Pro Forma'!CZ4,Amortization!$B$14:$E$373,4,FALSE))</f>
        <v>0</v>
      </c>
      <c r="DA46" s="14">
        <f>IF(DA51&gt;0,MAX(VLOOKUP('Pro Forma'!DA4,Amortization!$B$14:$E$373,4,FALSE)-Amortization!$I$6,0),VLOOKUP('Pro Forma'!DA4,Amortization!$B$14:$E$373,4,FALSE))</f>
        <v>0</v>
      </c>
      <c r="DB46" s="14">
        <f>IF(DB51&gt;0,MAX(VLOOKUP('Pro Forma'!DB4,Amortization!$B$14:$E$373,4,FALSE)-Amortization!$I$6,0),VLOOKUP('Pro Forma'!DB4,Amortization!$B$14:$E$373,4,FALSE))</f>
        <v>0</v>
      </c>
      <c r="DC46" s="14">
        <f>IF(DC51&gt;0,MAX(VLOOKUP('Pro Forma'!DC4,Amortization!$B$14:$E$373,4,FALSE)-Amortization!$I$6,0),VLOOKUP('Pro Forma'!DC4,Amortization!$B$14:$E$373,4,FALSE))</f>
        <v>0</v>
      </c>
      <c r="DD46" s="14">
        <f>IF(DD51&gt;0,MAX(VLOOKUP('Pro Forma'!DD4,Amortization!$B$14:$E$373,4,FALSE)-Amortization!$I$6,0),VLOOKUP('Pro Forma'!DD4,Amortization!$B$14:$E$373,4,FALSE))</f>
        <v>0</v>
      </c>
      <c r="DE46" s="14">
        <f>DD46</f>
        <v>0</v>
      </c>
      <c r="DF46" s="14">
        <f>IF(DF51&gt;0,MAX(VLOOKUP('Pro Forma'!DF4,Amortization!$B$14:$E$373,4,FALSE)-Amortization!$I$6,0),VLOOKUP('Pro Forma'!DF4,Amortization!$B$14:$E$373,4,FALSE))</f>
        <v>0</v>
      </c>
      <c r="DG46" s="14">
        <f>IF(DG51&gt;0,MAX(VLOOKUP('Pro Forma'!DG4,Amortization!$B$14:$E$373,4,FALSE)-Amortization!$I$6,0),VLOOKUP('Pro Forma'!DG4,Amortization!$B$14:$E$373,4,FALSE))</f>
        <v>0</v>
      </c>
      <c r="DH46" s="14">
        <f>IF(DH51&gt;0,MAX(VLOOKUP('Pro Forma'!DH4,Amortization!$B$14:$E$373,4,FALSE)-Amortization!$I$6,0),VLOOKUP('Pro Forma'!DH4,Amortization!$B$14:$E$373,4,FALSE))</f>
        <v>0</v>
      </c>
      <c r="DI46" s="14">
        <f>IF(DI51&gt;0,MAX(VLOOKUP('Pro Forma'!DI4,Amortization!$B$14:$E$373,4,FALSE)-Amortization!$I$6,0),VLOOKUP('Pro Forma'!DI4,Amortization!$B$14:$E$373,4,FALSE))</f>
        <v>0</v>
      </c>
      <c r="DJ46" s="14">
        <f>IF(DJ51&gt;0,MAX(VLOOKUP('Pro Forma'!DJ4,Amortization!$B$14:$E$373,4,FALSE)-Amortization!$I$6,0),VLOOKUP('Pro Forma'!DJ4,Amortization!$B$14:$E$373,4,FALSE))</f>
        <v>0</v>
      </c>
      <c r="DK46" s="14">
        <f>IF(DK51&gt;0,MAX(VLOOKUP('Pro Forma'!DK4,Amortization!$B$14:$E$373,4,FALSE)-Amortization!$I$6,0),VLOOKUP('Pro Forma'!DK4,Amortization!$B$14:$E$373,4,FALSE))</f>
        <v>0</v>
      </c>
      <c r="DL46" s="14">
        <f>IF(DL51&gt;0,MAX(VLOOKUP('Pro Forma'!DL4,Amortization!$B$14:$E$373,4,FALSE)-Amortization!$I$6,0),VLOOKUP('Pro Forma'!DL4,Amortization!$B$14:$E$373,4,FALSE))</f>
        <v>0</v>
      </c>
      <c r="DM46" s="14">
        <f>IF(DM51&gt;0,MAX(VLOOKUP('Pro Forma'!DM4,Amortization!$B$14:$E$373,4,FALSE)-Amortization!$I$6,0),VLOOKUP('Pro Forma'!DM4,Amortization!$B$14:$E$373,4,FALSE))</f>
        <v>0</v>
      </c>
      <c r="DN46" s="14">
        <f>IF(DN51&gt;0,MAX(VLOOKUP('Pro Forma'!DN4,Amortization!$B$14:$E$373,4,FALSE)-Amortization!$I$6,0),VLOOKUP('Pro Forma'!DN4,Amortization!$B$14:$E$373,4,FALSE))</f>
        <v>0</v>
      </c>
      <c r="DO46" s="14">
        <f>IF(DO51&gt;0,MAX(VLOOKUP('Pro Forma'!DO4,Amortization!$B$14:$E$373,4,FALSE)-Amortization!$I$6,0),VLOOKUP('Pro Forma'!DO4,Amortization!$B$14:$E$373,4,FALSE))</f>
        <v>0</v>
      </c>
      <c r="DP46" s="14">
        <f>IF(DP51&gt;0,MAX(VLOOKUP('Pro Forma'!DP4,Amortization!$B$14:$E$373,4,FALSE)-Amortization!$I$6,0),VLOOKUP('Pro Forma'!DP4,Amortization!$B$14:$E$373,4,FALSE))</f>
        <v>0</v>
      </c>
      <c r="DQ46" s="14">
        <f>IF(DQ51&gt;0,MAX(VLOOKUP('Pro Forma'!DQ4,Amortization!$B$14:$E$373,4,FALSE)-Amortization!$I$6,0),VLOOKUP('Pro Forma'!DQ4,Amortization!$B$14:$E$373,4,FALSE))</f>
        <v>0</v>
      </c>
      <c r="DR46" s="14">
        <f>DQ46</f>
        <v>0</v>
      </c>
      <c r="DS46" s="14">
        <f>IF(DS51&gt;0,MAX(VLOOKUP('Pro Forma'!DS4,Amortization!$B$14:$E$373,4,FALSE)-Amortization!$I$6,0),VLOOKUP('Pro Forma'!DS4,Amortization!$B$14:$E$373,4,FALSE))</f>
        <v>0</v>
      </c>
      <c r="DT46" s="14">
        <f>IF(DT51&gt;0,MAX(VLOOKUP('Pro Forma'!DT4,Amortization!$B$14:$E$373,4,FALSE)-Amortization!$I$6,0),VLOOKUP('Pro Forma'!DT4,Amortization!$B$14:$E$373,4,FALSE))</f>
        <v>0</v>
      </c>
      <c r="DU46" s="14">
        <f>IF(DU51&gt;0,MAX(VLOOKUP('Pro Forma'!DU4,Amortization!$B$14:$E$373,4,FALSE)-Amortization!$I$6,0),VLOOKUP('Pro Forma'!DU4,Amortization!$B$14:$E$373,4,FALSE))</f>
        <v>0</v>
      </c>
      <c r="DV46" s="14">
        <f>IF(DV51&gt;0,MAX(VLOOKUP('Pro Forma'!DV4,Amortization!$B$14:$E$373,4,FALSE)-Amortization!$I$6,0),VLOOKUP('Pro Forma'!DV4,Amortization!$B$14:$E$373,4,FALSE))</f>
        <v>0</v>
      </c>
      <c r="DW46" s="14">
        <f>IF(DW51&gt;0,MAX(VLOOKUP('Pro Forma'!DW4,Amortization!$B$14:$E$373,4,FALSE)-Amortization!$I$6,0),VLOOKUP('Pro Forma'!DW4,Amortization!$B$14:$E$373,4,FALSE))</f>
        <v>0</v>
      </c>
      <c r="DX46" s="14">
        <f>IF(DX51&gt;0,MAX(VLOOKUP('Pro Forma'!DX4,Amortization!$B$14:$E$373,4,FALSE)-Amortization!$I$6,0),VLOOKUP('Pro Forma'!DX4,Amortization!$B$14:$E$373,4,FALSE))</f>
        <v>0</v>
      </c>
      <c r="DY46" s="14">
        <f>IF(DY51&gt;0,MAX(VLOOKUP('Pro Forma'!DY4,Amortization!$B$14:$E$373,4,FALSE)-Amortization!$I$6,0),VLOOKUP('Pro Forma'!DY4,Amortization!$B$14:$E$373,4,FALSE))</f>
        <v>0</v>
      </c>
      <c r="DZ46" s="14">
        <f>IF(DZ51&gt;0,MAX(VLOOKUP('Pro Forma'!DZ4,Amortization!$B$14:$E$373,4,FALSE)-Amortization!$I$6,0),VLOOKUP('Pro Forma'!DZ4,Amortization!$B$14:$E$373,4,FALSE))</f>
        <v>0</v>
      </c>
      <c r="EA46" s="14">
        <f>IF(EA51&gt;0,MAX(VLOOKUP('Pro Forma'!EA4,Amortization!$B$14:$E$373,4,FALSE)-Amortization!$I$6,0),VLOOKUP('Pro Forma'!EA4,Amortization!$B$14:$E$373,4,FALSE))</f>
        <v>0</v>
      </c>
      <c r="EB46" s="14">
        <f>IF(EB51&gt;0,MAX(VLOOKUP('Pro Forma'!EB4,Amortization!$B$14:$E$373,4,FALSE)-Amortization!$I$6,0),VLOOKUP('Pro Forma'!EB4,Amortization!$B$14:$E$373,4,FALSE))</f>
        <v>0</v>
      </c>
      <c r="EC46" s="14">
        <f>IF(EC51&gt;0,MAX(VLOOKUP('Pro Forma'!EC4,Amortization!$B$14:$E$373,4,FALSE)-Amortization!$I$6,0),VLOOKUP('Pro Forma'!EC4,Amortization!$B$14:$E$373,4,FALSE))</f>
        <v>0</v>
      </c>
      <c r="ED46" s="14">
        <f>IF(ED51&gt;0,MAX(VLOOKUP('Pro Forma'!ED4,Amortization!$B$14:$E$373,4,FALSE)-Amortization!$I$6,0),VLOOKUP('Pro Forma'!ED4,Amortization!$B$14:$E$373,4,FALSE))</f>
        <v>0</v>
      </c>
      <c r="EE46" s="761">
        <f>ED46</f>
        <v>0</v>
      </c>
      <c r="EF46" s="11"/>
      <c r="EG46" s="11"/>
      <c r="EH46" s="11"/>
      <c r="EI46" s="11"/>
    </row>
    <row r="47" spans="2:139" ht="18.75">
      <c r="B47" s="766" t="s">
        <v>313</v>
      </c>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242"/>
      <c r="EF47" s="11"/>
      <c r="EG47" s="11"/>
      <c r="EH47" s="11"/>
      <c r="EI47" s="11"/>
    </row>
    <row r="48" spans="2:139" ht="16.5" customHeight="1">
      <c r="B48" s="767"/>
      <c r="C48" s="1056" t="s">
        <v>314</v>
      </c>
      <c r="D48" s="1056"/>
      <c r="E48" s="1056"/>
      <c r="F48" s="1106">
        <f>IF('Pro Forma'!F$4&gt;='Inputs &amp; Assumptions'!$V$19,VLOOKUP('Pro Forma'!F$4,Amortization!$I$14:$L$374,2,FALSE),0)</f>
        <v>0</v>
      </c>
      <c r="G48" s="1106">
        <f>IF('Pro Forma'!G4&gt;='Inputs &amp; Assumptions'!$V$19,VLOOKUP('Pro Forma'!G4-1,Amortization!$I$14:$L$374,2,FALSE),0)</f>
        <v>0</v>
      </c>
      <c r="H48" s="1106">
        <f>IF('Pro Forma'!H4&gt;='Inputs &amp; Assumptions'!$V$19,VLOOKUP('Pro Forma'!H4-1,Amortization!$I$14:$L$374,2,FALSE),0)</f>
        <v>0</v>
      </c>
      <c r="I48" s="1106">
        <f>IF('Pro Forma'!I4&gt;='Inputs &amp; Assumptions'!$V$19,VLOOKUP('Pro Forma'!I4-1,Amortization!$I$14:$L$374,2,FALSE),0)</f>
        <v>0</v>
      </c>
      <c r="J48" s="1106">
        <f>IF('Pro Forma'!J4&gt;='Inputs &amp; Assumptions'!$V$19,VLOOKUP('Pro Forma'!J4-1,Amortization!$I$14:$L$374,2,FALSE),0)</f>
        <v>0</v>
      </c>
      <c r="K48" s="1106">
        <f>IF('Pro Forma'!K4&gt;='Inputs &amp; Assumptions'!$V$19,VLOOKUP('Pro Forma'!K4-1,Amortization!$I$14:$L$374,2,FALSE),0)</f>
        <v>0</v>
      </c>
      <c r="L48" s="1106">
        <f>IF('Pro Forma'!L4&gt;='Inputs &amp; Assumptions'!$V$19,VLOOKUP('Pro Forma'!L4-1,Amortization!$I$14:$L$374,2,FALSE),0)</f>
        <v>0</v>
      </c>
      <c r="M48" s="1106">
        <f>IF('Pro Forma'!M4&gt;='Inputs &amp; Assumptions'!$V$19,VLOOKUP('Pro Forma'!M4-1,Amortization!$I$14:$L$374,2,FALSE),0)</f>
        <v>0</v>
      </c>
      <c r="N48" s="1106">
        <f>IF('Pro Forma'!N4&gt;='Inputs &amp; Assumptions'!$V$19,VLOOKUP('Pro Forma'!N4-1,Amortization!$I$14:$L$374,2,FALSE),0)</f>
        <v>0</v>
      </c>
      <c r="O48" s="1106">
        <f>IF('Pro Forma'!O4&gt;='Inputs &amp; Assumptions'!$V$19,VLOOKUP('Pro Forma'!O4-1,Amortization!$I$14:$L$374,2,FALSE),0)</f>
        <v>0</v>
      </c>
      <c r="P48" s="1106">
        <f>IF('Pro Forma'!P4&gt;='Inputs &amp; Assumptions'!$V$19,VLOOKUP('Pro Forma'!P4-1,Amortization!$I$14:$L$374,2,FALSE),0)</f>
        <v>0</v>
      </c>
      <c r="Q48" s="1106">
        <f>IF('Pro Forma'!Q4&gt;='Inputs &amp; Assumptions'!$V$19,VLOOKUP('Pro Forma'!Q4-1,Amortization!$I$14:$L$374,2,FALSE),0)</f>
        <v>0</v>
      </c>
      <c r="R48" s="156">
        <f>SUM(F48:Q48)</f>
        <v>0</v>
      </c>
      <c r="S48" s="1106">
        <f>IF('Pro Forma'!S$4&gt;='Inputs &amp; Assumptions'!$V$19,VLOOKUP('Pro Forma'!S$4-1,Amortization!$I$14:$L$374,2,FALSE),0)</f>
        <v>0</v>
      </c>
      <c r="T48" s="1106">
        <f>IF('Pro Forma'!T$4&gt;='Inputs &amp; Assumptions'!$V$19,VLOOKUP('Pro Forma'!T$4-1,Amortization!$I$14:$L$374,2,FALSE),0)</f>
        <v>0</v>
      </c>
      <c r="U48" s="1106">
        <f>IF('Pro Forma'!U$4&gt;='Inputs &amp; Assumptions'!$V$19,VLOOKUP('Pro Forma'!U$4-1,Amortization!$I$14:$L$374,2,FALSE),0)</f>
        <v>0</v>
      </c>
      <c r="V48" s="1106">
        <f>IF('Pro Forma'!V$4&gt;='Inputs &amp; Assumptions'!$V$19,VLOOKUP('Pro Forma'!V$4-1,Amortization!$I$14:$L$374,2,FALSE),0)</f>
        <v>0</v>
      </c>
      <c r="W48" s="1106">
        <f>IF('Pro Forma'!W$4&gt;='Inputs &amp; Assumptions'!$V$19,VLOOKUP('Pro Forma'!W$4-1,Amortization!$I$14:$L$374,2,FALSE),0)</f>
        <v>0</v>
      </c>
      <c r="X48" s="1106">
        <f>IF('Pro Forma'!X$4&gt;='Inputs &amp; Assumptions'!$V$19,VLOOKUP('Pro Forma'!X$4-1,Amortization!$I$14:$L$374,2,FALSE),0)</f>
        <v>0</v>
      </c>
      <c r="Y48" s="1106">
        <f>IF('Pro Forma'!Y$4&gt;='Inputs &amp; Assumptions'!$V$19,VLOOKUP('Pro Forma'!Y$4-1,Amortization!$I$14:$L$374,2,FALSE),0)</f>
        <v>0</v>
      </c>
      <c r="Z48" s="1106">
        <f>IF('Pro Forma'!Z$4&gt;='Inputs &amp; Assumptions'!$V$19,VLOOKUP('Pro Forma'!Z$4-1,Amortization!$I$14:$L$374,2,FALSE),0)</f>
        <v>0</v>
      </c>
      <c r="AA48" s="1106">
        <f>IF('Pro Forma'!AA$4&gt;='Inputs &amp; Assumptions'!$V$19,VLOOKUP('Pro Forma'!AA$4-1,Amortization!$I$14:$L$374,2,FALSE),0)</f>
        <v>0</v>
      </c>
      <c r="AB48" s="1106">
        <f>IF('Pro Forma'!AB$4&gt;='Inputs &amp; Assumptions'!$V$19,VLOOKUP('Pro Forma'!AB$4-1,Amortization!$I$14:$L$374,2,FALSE),0)</f>
        <v>0</v>
      </c>
      <c r="AC48" s="1106">
        <f>IF('Pro Forma'!AC$4&gt;='Inputs &amp; Assumptions'!$V$19,VLOOKUP('Pro Forma'!AC$4-1,Amortization!$I$14:$L$374,2,FALSE),0)</f>
        <v>0</v>
      </c>
      <c r="AD48" s="1106">
        <f>IF('Pro Forma'!AD$4&gt;='Inputs &amp; Assumptions'!$V$19,VLOOKUP('Pro Forma'!AD$4-1,Amortization!$I$14:$L$374,2,FALSE),0)</f>
        <v>0</v>
      </c>
      <c r="AE48" s="156">
        <f>SUM(S48:AD48)</f>
        <v>0</v>
      </c>
      <c r="AF48" s="1106">
        <f>IF('Pro Forma'!AF$4&gt;='Inputs &amp; Assumptions'!$V$19,VLOOKUP('Pro Forma'!AF$4-1,Amortization!$I$14:$L$374,2,FALSE),0)</f>
        <v>0</v>
      </c>
      <c r="AG48" s="1106">
        <f>IF('Pro Forma'!AG$4&gt;='Inputs &amp; Assumptions'!$V$19,VLOOKUP('Pro Forma'!AG$4-1,Amortization!$I$14:$L$374,2,FALSE),0)</f>
        <v>0</v>
      </c>
      <c r="AH48" s="1106">
        <f>IF('Pro Forma'!AH$4&gt;='Inputs &amp; Assumptions'!$V$19,VLOOKUP('Pro Forma'!AH$4-1,Amortization!$I$14:$L$374,2,FALSE),0)</f>
        <v>0</v>
      </c>
      <c r="AI48" s="1106">
        <f>IF('Pro Forma'!AI$4&gt;='Inputs &amp; Assumptions'!$V$19,VLOOKUP('Pro Forma'!AI$4-1,Amortization!$I$14:$L$374,2,FALSE),0)</f>
        <v>0</v>
      </c>
      <c r="AJ48" s="1106">
        <f>IF('Pro Forma'!AJ$4&gt;='Inputs &amp; Assumptions'!$V$19,VLOOKUP('Pro Forma'!AJ$4-1,Amortization!$I$14:$L$374,2,FALSE),0)</f>
        <v>0</v>
      </c>
      <c r="AK48" s="1106">
        <f>IF('Pro Forma'!AK$4&gt;='Inputs &amp; Assumptions'!$V$19,VLOOKUP('Pro Forma'!AK$4-1,Amortization!$I$14:$L$374,2,FALSE),0)</f>
        <v>0</v>
      </c>
      <c r="AL48" s="1106">
        <f>IF('Pro Forma'!AL$4&gt;='Inputs &amp; Assumptions'!$V$19,VLOOKUP('Pro Forma'!AL$4-1,Amortization!$I$14:$L$374,2,FALSE),0)</f>
        <v>0</v>
      </c>
      <c r="AM48" s="1106">
        <f>IF('Pro Forma'!AM$4&gt;='Inputs &amp; Assumptions'!$V$19,VLOOKUP('Pro Forma'!AM$4-1,Amortization!$I$14:$L$374,2,FALSE),0)</f>
        <v>0</v>
      </c>
      <c r="AN48" s="1106">
        <f>IF('Pro Forma'!AN$4&gt;='Inputs &amp; Assumptions'!$V$19,VLOOKUP('Pro Forma'!AN$4-1,Amortization!$I$14:$L$374,2,FALSE),0)</f>
        <v>0</v>
      </c>
      <c r="AO48" s="1106">
        <f>IF('Pro Forma'!AO$4&gt;='Inputs &amp; Assumptions'!$V$19,VLOOKUP('Pro Forma'!AO$4-1,Amortization!$I$14:$L$374,2,FALSE),0)</f>
        <v>0</v>
      </c>
      <c r="AP48" s="1106">
        <f>IF('Pro Forma'!AP$4&gt;='Inputs &amp; Assumptions'!$V$19,VLOOKUP('Pro Forma'!AP$4-1,Amortization!$I$14:$L$374,2,FALSE),0)</f>
        <v>0</v>
      </c>
      <c r="AQ48" s="1106">
        <f>IF('Pro Forma'!AQ$4&gt;='Inputs &amp; Assumptions'!$V$19,VLOOKUP('Pro Forma'!AQ$4-1,Amortization!$I$14:$L$374,2,FALSE),0)</f>
        <v>0</v>
      </c>
      <c r="AR48" s="156">
        <f>SUM(AF48:AQ48)</f>
        <v>0</v>
      </c>
      <c r="AS48" s="1106">
        <f>IF('Pro Forma'!AS$4&gt;='Inputs &amp; Assumptions'!$V$19,VLOOKUP('Pro Forma'!AS$4-1,Amortization!$I$14:$L$374,2,FALSE),0)</f>
        <v>189359.57666073402</v>
      </c>
      <c r="AT48" s="1106">
        <f>IF('Pro Forma'!AT$4&gt;='Inputs &amp; Assumptions'!$V$19,VLOOKUP('Pro Forma'!AT$4-1,Amortization!$I$14:$L$374,2,FALSE),0)</f>
        <v>189359.57666073402</v>
      </c>
      <c r="AU48" s="1106">
        <f>IF('Pro Forma'!AU$4&gt;='Inputs &amp; Assumptions'!$V$19,VLOOKUP('Pro Forma'!AU$4-1,Amortization!$I$14:$L$374,2,FALSE),0)</f>
        <v>189359.57666073402</v>
      </c>
      <c r="AV48" s="1106">
        <f>IF('Pro Forma'!AV$4&gt;='Inputs &amp; Assumptions'!$V$19,VLOOKUP('Pro Forma'!AV$4-1,Amortization!$I$14:$L$374,2,FALSE),0)</f>
        <v>189359.57666073402</v>
      </c>
      <c r="AW48" s="1106">
        <f>IF('Pro Forma'!AW$4&gt;='Inputs &amp; Assumptions'!$V$19,VLOOKUP('Pro Forma'!AW$4-1,Amortization!$I$14:$L$374,2,FALSE),0)</f>
        <v>189359.57666073402</v>
      </c>
      <c r="AX48" s="1106">
        <f>IF('Pro Forma'!AX$4&gt;='Inputs &amp; Assumptions'!$V$19,VLOOKUP('Pro Forma'!AX$4-1,Amortization!$I$14:$L$374,2,FALSE),0)</f>
        <v>189359.57666073402</v>
      </c>
      <c r="AY48" s="1106">
        <f>IF('Pro Forma'!AY$4&gt;='Inputs &amp; Assumptions'!$V$19,VLOOKUP('Pro Forma'!AY$4-1,Amortization!$I$14:$L$374,2,FALSE),0)</f>
        <v>189359.57666073402</v>
      </c>
      <c r="AZ48" s="1106">
        <f>IF('Pro Forma'!AZ$4&gt;='Inputs &amp; Assumptions'!$V$19,VLOOKUP('Pro Forma'!AZ$4-1,Amortization!$I$14:$L$374,2,FALSE),0)</f>
        <v>189359.57666073402</v>
      </c>
      <c r="BA48" s="1106">
        <f>IF('Pro Forma'!BA$4&gt;='Inputs &amp; Assumptions'!$V$19,VLOOKUP('Pro Forma'!BA$4-1,Amortization!$I$14:$L$374,2,FALSE),0)</f>
        <v>189359.57666073402</v>
      </c>
      <c r="BB48" s="1106">
        <f>IF('Pro Forma'!BB$4&gt;='Inputs &amp; Assumptions'!$V$19,VLOOKUP('Pro Forma'!BB$4-1,Amortization!$I$14:$L$374,2,FALSE),0)</f>
        <v>189359.57666073402</v>
      </c>
      <c r="BC48" s="1106">
        <f>IF('Pro Forma'!BC$4&gt;='Inputs &amp; Assumptions'!$V$19,VLOOKUP('Pro Forma'!BC$4-1,Amortization!$I$14:$L$374,2,FALSE),0)</f>
        <v>189359.57666073402</v>
      </c>
      <c r="BD48" s="1106">
        <f>IF('Pro Forma'!BD$4&gt;='Inputs &amp; Assumptions'!$V$19,VLOOKUP('Pro Forma'!BD$4-1,Amortization!$I$14:$L$374,2,FALSE),0)</f>
        <v>189359.57666073402</v>
      </c>
      <c r="BE48" s="156">
        <f>SUM(AS48:BD48)</f>
        <v>2272314.9199288087</v>
      </c>
      <c r="BF48" s="1106">
        <f>IF('Pro Forma'!BF$4&gt;='Inputs &amp; Assumptions'!$V$19,VLOOKUP('Pro Forma'!BF$4-1,Amortization!$I$14:$L$374,2,FALSE),0)</f>
        <v>189359.57666073402</v>
      </c>
      <c r="BG48" s="1106">
        <f>IF('Pro Forma'!BG$4&gt;='Inputs &amp; Assumptions'!$V$19,VLOOKUP('Pro Forma'!BG$4-1,Amortization!$I$14:$L$374,2,FALSE),0)</f>
        <v>189359.57666073402</v>
      </c>
      <c r="BH48" s="1106">
        <f>IF('Pro Forma'!BH$4&gt;='Inputs &amp; Assumptions'!$V$19,VLOOKUP('Pro Forma'!BH$4-1,Amortization!$I$14:$L$374,2,FALSE),0)</f>
        <v>189359.57666073402</v>
      </c>
      <c r="BI48" s="1106">
        <f>IF('Pro Forma'!BI$4&gt;='Inputs &amp; Assumptions'!$V$19,VLOOKUP('Pro Forma'!BI$4-1,Amortization!$I$14:$L$374,2,FALSE),0)</f>
        <v>189359.57666073402</v>
      </c>
      <c r="BJ48" s="1106">
        <f>IF('Pro Forma'!BJ$4&gt;='Inputs &amp; Assumptions'!$V$19,VLOOKUP('Pro Forma'!BJ$4-1,Amortization!$I$14:$L$374,2,FALSE),0)</f>
        <v>189359.57666073402</v>
      </c>
      <c r="BK48" s="1106">
        <f>IF('Pro Forma'!BK$4&gt;='Inputs &amp; Assumptions'!$V$19,VLOOKUP('Pro Forma'!BK$4-1,Amortization!$I$14:$L$374,2,FALSE),0)</f>
        <v>189359.57666073402</v>
      </c>
      <c r="BL48" s="1106">
        <f>IF('Pro Forma'!BL$4&gt;='Inputs &amp; Assumptions'!$V$19,VLOOKUP('Pro Forma'!BL$4-1,Amortization!$I$14:$L$374,2,FALSE),0)</f>
        <v>189359.57666073402</v>
      </c>
      <c r="BM48" s="1106">
        <f>IF('Pro Forma'!BM$4&gt;='Inputs &amp; Assumptions'!$V$19,VLOOKUP('Pro Forma'!BM$4-1,Amortization!$I$14:$L$374,2,FALSE),0)</f>
        <v>189359.57666073402</v>
      </c>
      <c r="BN48" s="1106">
        <f>IF('Pro Forma'!BN$4&gt;='Inputs &amp; Assumptions'!$V$19,VLOOKUP('Pro Forma'!BN$4-1,Amortization!$I$14:$L$374,2,FALSE),0)</f>
        <v>189359.57666073402</v>
      </c>
      <c r="BO48" s="1106">
        <f>IF('Pro Forma'!BO$4&gt;='Inputs &amp; Assumptions'!$V$19,VLOOKUP('Pro Forma'!BO$4-1,Amortization!$I$14:$L$374,2,FALSE),0)</f>
        <v>189359.57666073402</v>
      </c>
      <c r="BP48" s="1106">
        <f>IF('Pro Forma'!BP$4&gt;='Inputs &amp; Assumptions'!$V$19,VLOOKUP('Pro Forma'!BP$4-1,Amortization!$I$14:$L$374,2,FALSE),0)</f>
        <v>189359.57666073402</v>
      </c>
      <c r="BQ48" s="1106">
        <f>IF('Pro Forma'!BQ$4&gt;='Inputs &amp; Assumptions'!$V$19,VLOOKUP('Pro Forma'!BQ$4-1,Amortization!$I$14:$L$374,2,FALSE),0)</f>
        <v>189359.57666073402</v>
      </c>
      <c r="BR48" s="156">
        <f>SUM(BF48:BQ48)</f>
        <v>2272314.9199288087</v>
      </c>
      <c r="BS48" s="1106">
        <f>IF('Pro Forma'!BS$4&gt;='Inputs &amp; Assumptions'!$V$19,VLOOKUP('Pro Forma'!BS$4-1,Amortization!$I$14:$L$374,2,FALSE),0)</f>
        <v>189359.57666073402</v>
      </c>
      <c r="BT48" s="1106">
        <f>IF('Pro Forma'!BT$4&gt;='Inputs &amp; Assumptions'!$V$19,VLOOKUP('Pro Forma'!BT$4-1,Amortization!$I$14:$L$374,2,FALSE),0)</f>
        <v>189171.06820774125</v>
      </c>
      <c r="BU48" s="1106">
        <f>IF('Pro Forma'!BU$4&gt;='Inputs &amp; Assumptions'!$V$19,VLOOKUP('Pro Forma'!BU$4-1,Amortization!$I$14:$L$374,2,FALSE),0)</f>
        <v>188981.61721248351</v>
      </c>
      <c r="BV48" s="1106">
        <f>IF('Pro Forma'!BV$4&gt;='Inputs &amp; Assumptions'!$V$19,VLOOKUP('Pro Forma'!BV$4-1,Amortization!$I$14:$L$374,2,FALSE),0)</f>
        <v>188791.21896224946</v>
      </c>
      <c r="BW48" s="1106">
        <f>IF('Pro Forma'!BW$4&gt;='Inputs &amp; Assumptions'!$V$19,VLOOKUP('Pro Forma'!BW$4-1,Amortization!$I$14:$L$374,2,FALSE),0)</f>
        <v>188599.86872076427</v>
      </c>
      <c r="BX48" s="1106">
        <f>IF('Pro Forma'!BX$4&gt;='Inputs &amp; Assumptions'!$V$19,VLOOKUP('Pro Forma'!BX$4-1,Amortization!$I$14:$L$374,2,FALSE),0)</f>
        <v>188407.56172807163</v>
      </c>
      <c r="BY48" s="1106">
        <f>IF('Pro Forma'!BY$4&gt;='Inputs &amp; Assumptions'!$V$19,VLOOKUP('Pro Forma'!BY$4-1,Amortization!$I$14:$L$374,2,FALSE),0)</f>
        <v>188214.29320041553</v>
      </c>
      <c r="BZ48" s="1106">
        <f>IF('Pro Forma'!BZ$4&gt;='Inputs &amp; Assumptions'!$V$19,VLOOKUP('Pro Forma'!BZ$4-1,Amortization!$I$14:$L$374,2,FALSE),0)</f>
        <v>188020.05833012113</v>
      </c>
      <c r="CA48" s="1106">
        <f>IF('Pro Forma'!CA$4&gt;='Inputs &amp; Assumptions'!$V$19,VLOOKUP('Pro Forma'!CA$4-1,Amortization!$I$14:$L$374,2,FALSE),0)</f>
        <v>187824.85228547527</v>
      </c>
      <c r="CB48" s="1106">
        <f>IF('Pro Forma'!CB$4&gt;='Inputs &amp; Assumptions'!$V$19,VLOOKUP('Pro Forma'!CB$4-1,Amortization!$I$14:$L$374,2,FALSE),0)</f>
        <v>187628.67021060619</v>
      </c>
      <c r="CC48" s="1106">
        <f>IF('Pro Forma'!CC$4&gt;='Inputs &amp; Assumptions'!$V$19,VLOOKUP('Pro Forma'!CC$4-1,Amortization!$I$14:$L$374,2,FALSE),0)</f>
        <v>187431.50722536279</v>
      </c>
      <c r="CD48" s="1106">
        <f>IF('Pro Forma'!CD$4&gt;='Inputs &amp; Assumptions'!$V$19,VLOOKUP('Pro Forma'!CD$4-1,Amortization!$I$14:$L$374,2,FALSE),0)</f>
        <v>187233.35842519312</v>
      </c>
      <c r="CE48" s="156">
        <f>SUM(BS48:CD48)</f>
        <v>2259663.6511692181</v>
      </c>
      <c r="CF48" s="1106">
        <f>IF('Pro Forma'!CF$4&gt;='Inputs &amp; Assumptions'!$V$19,VLOOKUP('Pro Forma'!CF$4-1,Amortization!$I$14:$L$374,2,FALSE),0)</f>
        <v>187034.21888102262</v>
      </c>
      <c r="CG48" s="1106">
        <f>IF('Pro Forma'!CG$4&gt;='Inputs &amp; Assumptions'!$V$19,VLOOKUP('Pro Forma'!CG$4-1,Amortization!$I$14:$L$374,2,FALSE),0)</f>
        <v>186834.08363913128</v>
      </c>
      <c r="CH48" s="1106">
        <f>IF('Pro Forma'!CH$4&gt;='Inputs &amp; Assumptions'!$V$19,VLOOKUP('Pro Forma'!CH$4-1,Amortization!$I$14:$L$374,2,FALSE),0)</f>
        <v>186632.94772103048</v>
      </c>
      <c r="CI48" s="1106">
        <f>IF('Pro Forma'!CI$4&gt;='Inputs &amp; Assumptions'!$V$19,VLOOKUP('Pro Forma'!CI$4-1,Amortization!$I$14:$L$374,2,FALSE),0)</f>
        <v>186430.80612333919</v>
      </c>
      <c r="CJ48" s="1106">
        <f>IF('Pro Forma'!CJ$4&gt;='Inputs &amp; Assumptions'!$V$19,VLOOKUP('Pro Forma'!CJ$4-1,Amortization!$I$14:$L$374,2,FALSE),0)</f>
        <v>186227.65381765945</v>
      </c>
      <c r="CK48" s="1106">
        <f>IF('Pro Forma'!CK$4&gt;='Inputs &amp; Assumptions'!$V$19,VLOOKUP('Pro Forma'!CK$4-1,Amortization!$I$14:$L$374,2,FALSE),0)</f>
        <v>186023.48575045125</v>
      </c>
      <c r="CL48" s="1106">
        <f>IF('Pro Forma'!CL$4&gt;='Inputs &amp; Assumptions'!$V$19,VLOOKUP('Pro Forma'!CL$4-1,Amortization!$I$14:$L$374,2,FALSE),0)</f>
        <v>185818.29684290706</v>
      </c>
      <c r="CM48" s="1106">
        <f>IF('Pro Forma'!CM$4&gt;='Inputs &amp; Assumptions'!$V$19,VLOOKUP('Pro Forma'!CM$4-1,Amortization!$I$14:$L$374,2,FALSE),0)</f>
        <v>185612.08199082516</v>
      </c>
      <c r="CN48" s="1106">
        <f>IF('Pro Forma'!CN$4&gt;='Inputs &amp; Assumptions'!$V$19,VLOOKUP('Pro Forma'!CN$4-1,Amortization!$I$14:$L$374,2,FALSE),0)</f>
        <v>185404.83606448281</v>
      </c>
      <c r="CO48" s="1106">
        <f>IF('Pro Forma'!CO$4&gt;='Inputs &amp; Assumptions'!$V$19,VLOOKUP('Pro Forma'!CO$4-1,Amortization!$I$14:$L$374,2,FALSE),0)</f>
        <v>185196.55390850874</v>
      </c>
      <c r="CP48" s="1106">
        <f>IF('Pro Forma'!CP$4&gt;='Inputs &amp; Assumptions'!$V$19,VLOOKUP('Pro Forma'!CP$4-1,Amortization!$I$14:$L$374,2,FALSE),0)</f>
        <v>184987.23034175485</v>
      </c>
      <c r="CQ48" s="1106">
        <f>IF('Pro Forma'!CQ$4&gt;='Inputs &amp; Assumptions'!$V$19,VLOOKUP('Pro Forma'!CQ$4-1,Amortization!$I$14:$L$374,2,FALSE),0)</f>
        <v>184776.86015716716</v>
      </c>
      <c r="CR48" s="156">
        <f>SUM(CF48:CQ48)</f>
        <v>2230979.0552382804</v>
      </c>
      <c r="CS48" s="1106">
        <f>IF('Pro Forma'!CS$4&gt;='Inputs &amp; Assumptions'!$V$19,VLOOKUP('Pro Forma'!CS$4-1,Amortization!$I$14:$L$374,2,FALSE),0)</f>
        <v>184565.43812165654</v>
      </c>
      <c r="CT48" s="1106">
        <f>IF('Pro Forma'!CT$4&gt;='Inputs &amp; Assumptions'!$V$19,VLOOKUP('Pro Forma'!CT$4-1,Amortization!$I$14:$L$374,2,FALSE),0)</f>
        <v>184352.95897596833</v>
      </c>
      <c r="CU48" s="1106">
        <f>IF('Pro Forma'!CU$4&gt;='Inputs &amp; Assumptions'!$V$19,VLOOKUP('Pro Forma'!CU$4-1,Amortization!$I$14:$L$374,2,FALSE),0)</f>
        <v>184139.41743455175</v>
      </c>
      <c r="CV48" s="1106">
        <f>IF('Pro Forma'!CV$4&gt;='Inputs &amp; Assumptions'!$V$19,VLOOKUP('Pro Forma'!CV$4-1,Amortization!$I$14:$L$374,2,FALSE),0)</f>
        <v>183924.80818542803</v>
      </c>
      <c r="CW48" s="1106">
        <f>IF('Pro Forma'!CW$4&gt;='Inputs &amp; Assumptions'!$V$19,VLOOKUP('Pro Forma'!CW$4-1,Amortization!$I$14:$L$374,2,FALSE),0)</f>
        <v>183709.12589005873</v>
      </c>
      <c r="CX48" s="1106">
        <f>IF('Pro Forma'!CX$4&gt;='Inputs &amp; Assumptions'!$V$19,VLOOKUP('Pro Forma'!CX$4-1,Amortization!$I$14:$L$374,2,FALSE),0)</f>
        <v>183492.36518321256</v>
      </c>
      <c r="CY48" s="1106">
        <f>IF('Pro Forma'!CY$4&gt;='Inputs &amp; Assumptions'!$V$19,VLOOKUP('Pro Forma'!CY$4-1,Amortization!$I$14:$L$374,2,FALSE),0)</f>
        <v>183274.52067283215</v>
      </c>
      <c r="CZ48" s="1106">
        <f>IF('Pro Forma'!CZ$4&gt;='Inputs &amp; Assumptions'!$V$19,VLOOKUP('Pro Forma'!CZ$4-1,Amortization!$I$14:$L$374,2,FALSE),0)</f>
        <v>183055.58693989986</v>
      </c>
      <c r="DA48" s="1106">
        <f>IF('Pro Forma'!DA$4&gt;='Inputs &amp; Assumptions'!$V$19,VLOOKUP('Pro Forma'!DA$4-1,Amortization!$I$14:$L$374,2,FALSE),0)</f>
        <v>182835.55853830292</v>
      </c>
      <c r="DB48" s="1106">
        <f>IF('Pro Forma'!DB$4&gt;='Inputs &amp; Assumptions'!$V$19,VLOOKUP('Pro Forma'!DB$4-1,Amortization!$I$14:$L$374,2,FALSE),0)</f>
        <v>182614.429994698</v>
      </c>
      <c r="DC48" s="1106">
        <f>IF('Pro Forma'!DC$4&gt;='Inputs &amp; Assumptions'!$V$19,VLOOKUP('Pro Forma'!DC$4-1,Amortization!$I$14:$L$374,2,FALSE),0)</f>
        <v>182392.19580837499</v>
      </c>
      <c r="DD48" s="1106">
        <f>IF('Pro Forma'!DD$4&gt;='Inputs &amp; Assumptions'!$V$19,VLOOKUP('Pro Forma'!DD$4-1,Amortization!$I$14:$L$374,2,FALSE),0)</f>
        <v>182168.85045112041</v>
      </c>
      <c r="DE48" s="156">
        <f>SUM(CS48:DD48)</f>
        <v>2200525.256196104</v>
      </c>
      <c r="DF48" s="1106">
        <f>IF('Pro Forma'!DF$4&gt;='Inputs &amp; Assumptions'!$V$19,VLOOKUP('Pro Forma'!DF$4-1,Amortization!$I$14:$L$374,2,FALSE),0)</f>
        <v>181944.38836707952</v>
      </c>
      <c r="DG48" s="1106">
        <f>IF('Pro Forma'!DG$4&gt;='Inputs &amp; Assumptions'!$V$19,VLOOKUP('Pro Forma'!DG$4-1,Amortization!$I$14:$L$374,2,FALSE),0)</f>
        <v>181718.80397261845</v>
      </c>
      <c r="DH48" s="1106">
        <f>IF('Pro Forma'!DH$4&gt;='Inputs &amp; Assumptions'!$V$19,VLOOKUP('Pro Forma'!DH$4-1,Amortization!$I$14:$L$374,2,FALSE),0)</f>
        <v>181492.09165618508</v>
      </c>
      <c r="DI48" s="1106">
        <f>IF('Pro Forma'!DI$4&gt;='Inputs &amp; Assumptions'!$V$19,VLOOKUP('Pro Forma'!DI$4-1,Amortization!$I$14:$L$374,2,FALSE),0)</f>
        <v>181264.24577816957</v>
      </c>
      <c r="DJ48" s="1106">
        <f>IF('Pro Forma'!DJ$4&gt;='Inputs &amp; Assumptions'!$V$19,VLOOKUP('Pro Forma'!DJ$4-1,Amortization!$I$14:$L$374,2,FALSE),0)</f>
        <v>181035.26067076394</v>
      </c>
      <c r="DK48" s="1106">
        <f>IF('Pro Forma'!DK$4&gt;='Inputs &amp; Assumptions'!$V$19,VLOOKUP('Pro Forma'!DK$4-1,Amortization!$I$14:$L$374,2,FALSE),0)</f>
        <v>180805.1306378213</v>
      </c>
      <c r="DL48" s="1106">
        <f>IF('Pro Forma'!DL$4&gt;='Inputs &amp; Assumptions'!$V$19,VLOOKUP('Pro Forma'!DL$4-1,Amortization!$I$14:$L$374,2,FALSE),0)</f>
        <v>180573.84995471398</v>
      </c>
      <c r="DM48" s="1106">
        <f>IF('Pro Forma'!DM$4&gt;='Inputs &amp; Assumptions'!$V$19,VLOOKUP('Pro Forma'!DM$4-1,Amortization!$I$14:$L$374,2,FALSE),0)</f>
        <v>180341.41286819111</v>
      </c>
      <c r="DN48" s="1106">
        <f>IF('Pro Forma'!DN$4&gt;='Inputs &amp; Assumptions'!$V$19,VLOOKUP('Pro Forma'!DN$4-1,Amortization!$I$14:$L$374,2,FALSE),0)</f>
        <v>180107.81359623562</v>
      </c>
      <c r="DO48" s="1106">
        <f>IF('Pro Forma'!DO$4&gt;='Inputs &amp; Assumptions'!$V$19,VLOOKUP('Pro Forma'!DO$4-1,Amortization!$I$14:$L$374,2,FALSE),0)</f>
        <v>179873.04632792031</v>
      </c>
      <c r="DP48" s="1106">
        <f>IF('Pro Forma'!DP$4&gt;='Inputs &amp; Assumptions'!$V$19,VLOOKUP('Pro Forma'!DP$4-1,Amortization!$I$14:$L$374,2,FALSE),0)</f>
        <v>179637.10522326347</v>
      </c>
      <c r="DQ48" s="1106">
        <f>IF('Pro Forma'!DQ$4&gt;='Inputs &amp; Assumptions'!$V$19,VLOOKUP('Pro Forma'!DQ$4-1,Amortization!$I$14:$L$374,2,FALSE),0)</f>
        <v>179399.98441308329</v>
      </c>
      <c r="DR48" s="156">
        <f>SUM(DF48:DQ48)</f>
        <v>2168193.1334660458</v>
      </c>
      <c r="DS48" s="1106">
        <f>IF('Pro Forma'!DS$4&gt;='Inputs &amp; Assumptions'!$V$19,VLOOKUP('Pro Forma'!DS$4-1,Amortization!$I$14:$L$374,2,FALSE),0)</f>
        <v>179161.6779988523</v>
      </c>
      <c r="DT48" s="1106">
        <f>IF('Pro Forma'!DT$4&gt;='Inputs &amp; Assumptions'!$V$19,VLOOKUP('Pro Forma'!DT$4-1,Amortization!$I$14:$L$374,2,FALSE),0)</f>
        <v>178922.18005255007</v>
      </c>
      <c r="DU48" s="1106">
        <f>IF('Pro Forma'!DU$4&gt;='Inputs &amp; Assumptions'!$V$19,VLOOKUP('Pro Forma'!DU$4-1,Amortization!$I$14:$L$374,2,FALSE),0)</f>
        <v>178681.48461651639</v>
      </c>
      <c r="DV48" s="1106">
        <f>IF('Pro Forma'!DV$4&gt;='Inputs &amp; Assumptions'!$V$19,VLOOKUP('Pro Forma'!DV$4-1,Amortization!$I$14:$L$374,2,FALSE),0)</f>
        <v>178439.58570330249</v>
      </c>
      <c r="DW48" s="1106">
        <f>IF('Pro Forma'!DW$4&gt;='Inputs &amp; Assumptions'!$V$19,VLOOKUP('Pro Forma'!DW$4-1,Amortization!$I$14:$L$374,2,FALSE),0)</f>
        <v>178196.47729552258</v>
      </c>
      <c r="DX48" s="1106">
        <f>IF('Pro Forma'!DX$4&gt;='Inputs &amp; Assumptions'!$V$19,VLOOKUP('Pro Forma'!DX$4-1,Amortization!$I$14:$L$374,2,FALSE),0)</f>
        <v>177952.15334570373</v>
      </c>
      <c r="DY48" s="1106">
        <f>IF('Pro Forma'!DY$4&gt;='Inputs &amp; Assumptions'!$V$19,VLOOKUP('Pro Forma'!DY$4-1,Amortization!$I$14:$L$374,2,FALSE),0)</f>
        <v>177706.60777613579</v>
      </c>
      <c r="DZ48" s="1106">
        <f>IF('Pro Forma'!DZ$4&gt;='Inputs &amp; Assumptions'!$V$19,VLOOKUP('Pro Forma'!DZ$4-1,Amortization!$I$14:$L$374,2,FALSE),0)</f>
        <v>177459.83447872</v>
      </c>
      <c r="EA48" s="1106">
        <f>IF('Pro Forma'!EA$4&gt;='Inputs &amp; Assumptions'!$V$19,VLOOKUP('Pro Forma'!EA$4-1,Amortization!$I$14:$L$374,2,FALSE),0)</f>
        <v>177211.82731481714</v>
      </c>
      <c r="EB48" s="1106">
        <f>IF('Pro Forma'!EB$4&gt;='Inputs &amp; Assumptions'!$V$19,VLOOKUP('Pro Forma'!EB$4-1,Amortization!$I$14:$L$374,2,FALSE),0)</f>
        <v>176962.58011509478</v>
      </c>
      <c r="EC48" s="1106">
        <f>IF('Pro Forma'!EC$4&gt;='Inputs &amp; Assumptions'!$V$19,VLOOKUP('Pro Forma'!EC$4-1,Amortization!$I$14:$L$374,2,FALSE),0)</f>
        <v>176712.08667937378</v>
      </c>
      <c r="ED48" s="1106">
        <f>IF('Pro Forma'!ED$4&gt;='Inputs &amp; Assumptions'!$V$19,VLOOKUP('Pro Forma'!ED$4-1,Amortization!$I$14:$L$374,2,FALSE),0)</f>
        <v>176460.34077647422</v>
      </c>
      <c r="EE48" s="243">
        <f>SUM(DS48:ED48)</f>
        <v>2133866.836153063</v>
      </c>
      <c r="EF48" s="11"/>
      <c r="EG48" s="11"/>
      <c r="EH48" s="11"/>
      <c r="EI48" s="11"/>
    </row>
    <row r="49" spans="2:139">
      <c r="B49" s="760"/>
      <c r="C49" t="s">
        <v>311</v>
      </c>
      <c r="D49" s="1101"/>
      <c r="E49" s="1101"/>
      <c r="F49" s="14">
        <f>IF('Pro Forma'!F$4&gt;='Inputs &amp; Assumptions'!$V$19,VLOOKUP('Pro Forma'!F$4,Amortization!$I$14:$L$374,2,FALSE),0)</f>
        <v>0</v>
      </c>
      <c r="G49" s="14">
        <f>IF('Pro Forma'!G$4&gt;='Inputs &amp; Assumptions'!$V$19,VLOOKUP('Pro Forma'!G$4-1,Amortization!$I$14:$L$374,2,FALSE),0)</f>
        <v>0</v>
      </c>
      <c r="H49" s="14">
        <f>IF('Pro Forma'!H$4&gt;='Inputs &amp; Assumptions'!$V$19,VLOOKUP('Pro Forma'!H$4-1,Amortization!$I$14:$L$374,2,FALSE),0)</f>
        <v>0</v>
      </c>
      <c r="I49" s="14">
        <f>IF('Pro Forma'!I$4&gt;='Inputs &amp; Assumptions'!$V$19,VLOOKUP('Pro Forma'!I$4-1,Amortization!$I$14:$L$374,2,FALSE),0)</f>
        <v>0</v>
      </c>
      <c r="J49" s="14">
        <f>IF('Pro Forma'!J$4&gt;='Inputs &amp; Assumptions'!$V$19,VLOOKUP('Pro Forma'!J$4-1,Amortization!$I$14:$L$374,2,FALSE),0)</f>
        <v>0</v>
      </c>
      <c r="K49" s="14">
        <f>IF('Pro Forma'!K$4&gt;='Inputs &amp; Assumptions'!$V$19,VLOOKUP('Pro Forma'!K$4-1,Amortization!$I$14:$L$374,2,FALSE),0)</f>
        <v>0</v>
      </c>
      <c r="L49" s="14">
        <f>IF('Pro Forma'!L$4&gt;='Inputs &amp; Assumptions'!$V$19,VLOOKUP('Pro Forma'!L$4-1,Amortization!$I$14:$L$374,2,FALSE),0)</f>
        <v>0</v>
      </c>
      <c r="M49" s="14">
        <f>IF('Pro Forma'!M$4&gt;='Inputs &amp; Assumptions'!$V$19,VLOOKUP('Pro Forma'!M$4-1,Amortization!$I$14:$L$374,2,FALSE),0)</f>
        <v>0</v>
      </c>
      <c r="N49" s="14">
        <f>IF('Pro Forma'!N$4&gt;='Inputs &amp; Assumptions'!$V$19,VLOOKUP('Pro Forma'!N$4-1,Amortization!$I$14:$L$374,2,FALSE),0)</f>
        <v>0</v>
      </c>
      <c r="O49" s="14">
        <f>IF('Pro Forma'!O$4&gt;='Inputs &amp; Assumptions'!$V$19,VLOOKUP('Pro Forma'!O$4-1,Amortization!$I$14:$L$374,2,FALSE),0)</f>
        <v>0</v>
      </c>
      <c r="P49" s="14">
        <f>IF('Pro Forma'!P$4&gt;='Inputs &amp; Assumptions'!$V$19,VLOOKUP('Pro Forma'!P$4-1,Amortization!$I$14:$L$374,2,FALSE),0)</f>
        <v>0</v>
      </c>
      <c r="Q49" s="14">
        <f>IF('Pro Forma'!Q$4&gt;='Inputs &amp; Assumptions'!$V$19,VLOOKUP('Pro Forma'!Q$4-1,Amortization!$I$14:$L$374,2,FALSE),0)</f>
        <v>0</v>
      </c>
      <c r="R49" s="14">
        <f>SUM(F49:Q49)</f>
        <v>0</v>
      </c>
      <c r="S49" s="14">
        <f>IF('Pro Forma'!S$4&gt;='Inputs &amp; Assumptions'!$V$19,VLOOKUP('Pro Forma'!S$4-1,Amortization!$I$14:$L$374,3,FALSE),0)</f>
        <v>0</v>
      </c>
      <c r="T49" s="14">
        <f>IF('Pro Forma'!T$4&gt;='Inputs &amp; Assumptions'!$V$19,VLOOKUP('Pro Forma'!T$4-1,Amortization!$I$14:$L$374,3,FALSE),0)</f>
        <v>0</v>
      </c>
      <c r="U49" s="14">
        <f>IF('Pro Forma'!U$4&gt;='Inputs &amp; Assumptions'!$V$19,VLOOKUP('Pro Forma'!U$4-1,Amortization!$I$14:$L$374,3,FALSE),0)</f>
        <v>0</v>
      </c>
      <c r="V49" s="14">
        <f>IF('Pro Forma'!V$4&gt;='Inputs &amp; Assumptions'!$V$19,VLOOKUP('Pro Forma'!V$4-1,Amortization!$I$14:$L$374,3,FALSE),0)</f>
        <v>0</v>
      </c>
      <c r="W49" s="14">
        <f>IF('Pro Forma'!W$4&gt;='Inputs &amp; Assumptions'!$V$19,VLOOKUP('Pro Forma'!W$4-1,Amortization!$I$14:$L$374,3,FALSE),0)</f>
        <v>0</v>
      </c>
      <c r="X49" s="14">
        <f>IF('Pro Forma'!X$4&gt;='Inputs &amp; Assumptions'!$V$19,VLOOKUP('Pro Forma'!X$4-1,Amortization!$I$14:$L$374,3,FALSE),0)</f>
        <v>0</v>
      </c>
      <c r="Y49" s="14">
        <f>IF('Pro Forma'!Y$4&gt;='Inputs &amp; Assumptions'!$V$19,VLOOKUP('Pro Forma'!Y$4-1,Amortization!$I$14:$L$374,3,FALSE),0)</f>
        <v>0</v>
      </c>
      <c r="Z49" s="14">
        <f>IF('Pro Forma'!Z$4&gt;='Inputs &amp; Assumptions'!$V$19,VLOOKUP('Pro Forma'!Z$4-1,Amortization!$I$14:$L$374,3,FALSE),0)</f>
        <v>0</v>
      </c>
      <c r="AA49" s="14">
        <f>IF('Pro Forma'!AA$4&gt;='Inputs &amp; Assumptions'!$V$19,VLOOKUP('Pro Forma'!AA$4-1,Amortization!$I$14:$L$374,3,FALSE),0)</f>
        <v>0</v>
      </c>
      <c r="AB49" s="14">
        <f>IF('Pro Forma'!AB$4&gt;='Inputs &amp; Assumptions'!$V$19,VLOOKUP('Pro Forma'!AB$4-1,Amortization!$I$14:$L$374,3,FALSE),0)</f>
        <v>0</v>
      </c>
      <c r="AC49" s="14">
        <f>IF('Pro Forma'!AC$4&gt;='Inputs &amp; Assumptions'!$V$19,VLOOKUP('Pro Forma'!AC$4-1,Amortization!$I$14:$L$374,3,FALSE),0)</f>
        <v>0</v>
      </c>
      <c r="AD49" s="14">
        <f>IF('Pro Forma'!AD$4&gt;='Inputs &amp; Assumptions'!$V$19,VLOOKUP('Pro Forma'!AD$4-1,Amortization!$I$14:$L$374,3,FALSE),0)</f>
        <v>0</v>
      </c>
      <c r="AE49" s="14">
        <f>SUM(S49:AD49)</f>
        <v>0</v>
      </c>
      <c r="AF49" s="14">
        <f>IF('Pro Forma'!AF$4&gt;='Inputs &amp; Assumptions'!$V$19,VLOOKUP('Pro Forma'!AF$4-1,Amortization!$I$14:$L$374,3,FALSE),0)</f>
        <v>0</v>
      </c>
      <c r="AG49" s="14">
        <f>IF('Pro Forma'!AG$4&gt;='Inputs &amp; Assumptions'!$V$19,VLOOKUP('Pro Forma'!AG$4-1,Amortization!$I$14:$L$374,3,FALSE),0)</f>
        <v>0</v>
      </c>
      <c r="AH49" s="14">
        <f>IF('Pro Forma'!AH$4&gt;='Inputs &amp; Assumptions'!$V$19,VLOOKUP('Pro Forma'!AH$4-1,Amortization!$I$14:$L$374,3,FALSE),0)</f>
        <v>0</v>
      </c>
      <c r="AI49" s="14">
        <f>IF('Pro Forma'!AI$4&gt;='Inputs &amp; Assumptions'!$V$19,VLOOKUP('Pro Forma'!AI$4-1,Amortization!$I$14:$L$374,3,FALSE),0)</f>
        <v>0</v>
      </c>
      <c r="AJ49" s="14">
        <f>IF('Pro Forma'!AJ$4&gt;='Inputs &amp; Assumptions'!$V$19,VLOOKUP('Pro Forma'!AJ$4-1,Amortization!$I$14:$L$374,3,FALSE),0)</f>
        <v>0</v>
      </c>
      <c r="AK49" s="14">
        <f>IF('Pro Forma'!AK$4&gt;='Inputs &amp; Assumptions'!$V$19,VLOOKUP('Pro Forma'!AK$4-1,Amortization!$I$14:$L$374,3,FALSE),0)</f>
        <v>0</v>
      </c>
      <c r="AL49" s="14">
        <f>IF('Pro Forma'!AL$4&gt;='Inputs &amp; Assumptions'!$V$19,VLOOKUP('Pro Forma'!AL$4-1,Amortization!$I$14:$L$374,3,FALSE),0)</f>
        <v>0</v>
      </c>
      <c r="AM49" s="14">
        <f>IF('Pro Forma'!AM$4&gt;='Inputs &amp; Assumptions'!$V$19,VLOOKUP('Pro Forma'!AM$4-1,Amortization!$I$14:$L$374,3,FALSE),0)</f>
        <v>0</v>
      </c>
      <c r="AN49" s="14">
        <f>IF('Pro Forma'!AN$4&gt;='Inputs &amp; Assumptions'!$V$19,VLOOKUP('Pro Forma'!AN$4-1,Amortization!$I$14:$L$374,3,FALSE),0)</f>
        <v>0</v>
      </c>
      <c r="AO49" s="14">
        <f>IF('Pro Forma'!AO$4&gt;='Inputs &amp; Assumptions'!$V$19,VLOOKUP('Pro Forma'!AO$4-1,Amortization!$I$14:$L$374,3,FALSE),0)</f>
        <v>0</v>
      </c>
      <c r="AP49" s="14">
        <f>IF('Pro Forma'!AP$4&gt;='Inputs &amp; Assumptions'!$V$19,VLOOKUP('Pro Forma'!AP$4-1,Amortization!$I$14:$L$374,3,FALSE),0)</f>
        <v>0</v>
      </c>
      <c r="AQ49" s="14">
        <f>IF('Pro Forma'!AQ$4&gt;='Inputs &amp; Assumptions'!$V$19,VLOOKUP('Pro Forma'!AQ$4-1,Amortization!$I$14:$L$374,3,FALSE),0)</f>
        <v>0</v>
      </c>
      <c r="AR49" s="14">
        <f>SUM(AF49:AQ49)</f>
        <v>0</v>
      </c>
      <c r="AS49" s="14">
        <f>IF('Pro Forma'!AS$4&gt;='Inputs &amp; Assumptions'!$V$19,VLOOKUP('Pro Forma'!AS$4-1,Amortization!$I$14:$L$374,3,FALSE),0)</f>
        <v>0</v>
      </c>
      <c r="AT49" s="14">
        <f>IF('Pro Forma'!AT$4&gt;='Inputs &amp; Assumptions'!$V$19,VLOOKUP('Pro Forma'!AT$4-1,Amortization!$I$14:$L$374,3,FALSE),0)</f>
        <v>0</v>
      </c>
      <c r="AU49" s="14">
        <f>IF('Pro Forma'!AU$4&gt;='Inputs &amp; Assumptions'!$V$19,VLOOKUP('Pro Forma'!AU$4-1,Amortization!$I$14:$L$374,3,FALSE),0)</f>
        <v>0</v>
      </c>
      <c r="AV49" s="14">
        <f>IF('Pro Forma'!AV$4&gt;='Inputs &amp; Assumptions'!$V$19,VLOOKUP('Pro Forma'!AV$4-1,Amortization!$I$14:$L$374,3,FALSE),0)</f>
        <v>0</v>
      </c>
      <c r="AW49" s="14">
        <f>IF('Pro Forma'!AW$4&gt;='Inputs &amp; Assumptions'!$V$19,VLOOKUP('Pro Forma'!AW$4-1,Amortization!$I$14:$L$374,3,FALSE),0)</f>
        <v>0</v>
      </c>
      <c r="AX49" s="14">
        <f>IF('Pro Forma'!AX$4&gt;='Inputs &amp; Assumptions'!$V$19,VLOOKUP('Pro Forma'!AX$4-1,Amortization!$I$14:$L$374,3,FALSE),0)</f>
        <v>0</v>
      </c>
      <c r="AY49" s="14">
        <f>IF('Pro Forma'!AY$4&gt;='Inputs &amp; Assumptions'!$V$19,VLOOKUP('Pro Forma'!AY$4-1,Amortization!$I$14:$L$374,3,FALSE),0)</f>
        <v>0</v>
      </c>
      <c r="AZ49" s="14">
        <f>IF('Pro Forma'!AZ$4&gt;='Inputs &amp; Assumptions'!$V$19,VLOOKUP('Pro Forma'!AZ$4-1,Amortization!$I$14:$L$374,3,FALSE),0)</f>
        <v>0</v>
      </c>
      <c r="BA49" s="14">
        <f>IF('Pro Forma'!BA$4&gt;='Inputs &amp; Assumptions'!$V$19,VLOOKUP('Pro Forma'!BA$4-1,Amortization!$I$14:$L$374,3,FALSE),0)</f>
        <v>0</v>
      </c>
      <c r="BB49" s="14">
        <f>IF('Pro Forma'!BB$4&gt;='Inputs &amp; Assumptions'!$V$19,VLOOKUP('Pro Forma'!BB$4-1,Amortization!$I$14:$L$374,3,FALSE),0)</f>
        <v>0</v>
      </c>
      <c r="BC49" s="14">
        <f>IF('Pro Forma'!BC$4&gt;='Inputs &amp; Assumptions'!$V$19,VLOOKUP('Pro Forma'!BC$4-1,Amortization!$I$14:$L$374,3,FALSE),0)</f>
        <v>0</v>
      </c>
      <c r="BD49" s="14">
        <f>IF('Pro Forma'!BD$4&gt;='Inputs &amp; Assumptions'!$V$19,VLOOKUP('Pro Forma'!BD$4-1,Amortization!$I$14:$L$374,3,FALSE),0)</f>
        <v>0</v>
      </c>
      <c r="BE49" s="14">
        <f>SUM(AS49:BD49)</f>
        <v>0</v>
      </c>
      <c r="BF49" s="14">
        <f>IF('Pro Forma'!BF$4&gt;='Inputs &amp; Assumptions'!$V$19,VLOOKUP('Pro Forma'!BF$4-1,Amortization!$I$14:$L$374,3,FALSE),0)</f>
        <v>0</v>
      </c>
      <c r="BG49" s="14">
        <f>IF('Pro Forma'!BG$4&gt;='Inputs &amp; Assumptions'!$V$19,VLOOKUP('Pro Forma'!BG$4-1,Amortization!$I$14:$L$374,3,FALSE),0)</f>
        <v>0</v>
      </c>
      <c r="BH49" s="14">
        <f>IF('Pro Forma'!BH$4&gt;='Inputs &amp; Assumptions'!$V$19,VLOOKUP('Pro Forma'!BH$4-1,Amortization!$I$14:$L$374,3,FALSE),0)</f>
        <v>0</v>
      </c>
      <c r="BI49" s="14">
        <f>IF('Pro Forma'!BI$4&gt;='Inputs &amp; Assumptions'!$V$19,VLOOKUP('Pro Forma'!BI$4-1,Amortization!$I$14:$L$374,3,FALSE),0)</f>
        <v>0</v>
      </c>
      <c r="BJ49" s="14">
        <f>IF('Pro Forma'!BJ$4&gt;='Inputs &amp; Assumptions'!$V$19,VLOOKUP('Pro Forma'!BJ$4-1,Amortization!$I$14:$L$374,3,FALSE),0)</f>
        <v>0</v>
      </c>
      <c r="BK49" s="14">
        <f>IF('Pro Forma'!BK$4&gt;='Inputs &amp; Assumptions'!$V$19,VLOOKUP('Pro Forma'!BK$4-1,Amortization!$I$14:$L$374,3,FALSE),0)</f>
        <v>0</v>
      </c>
      <c r="BL49" s="14">
        <f>IF('Pro Forma'!BL$4&gt;='Inputs &amp; Assumptions'!$V$19,VLOOKUP('Pro Forma'!BL$4-1,Amortization!$I$14:$L$374,3,FALSE),0)</f>
        <v>0</v>
      </c>
      <c r="BM49" s="14">
        <f>IF('Pro Forma'!BM$4&gt;='Inputs &amp; Assumptions'!$V$19,VLOOKUP('Pro Forma'!BM$4-1,Amortization!$I$14:$L$374,3,FALSE),0)</f>
        <v>0</v>
      </c>
      <c r="BN49" s="14">
        <f>IF('Pro Forma'!BN$4&gt;='Inputs &amp; Assumptions'!$V$19,VLOOKUP('Pro Forma'!BN$4-1,Amortization!$I$14:$L$374,3,FALSE),0)</f>
        <v>0</v>
      </c>
      <c r="BO49" s="14">
        <f>IF('Pro Forma'!BO$4&gt;='Inputs &amp; Assumptions'!$V$19,VLOOKUP('Pro Forma'!BO$4-1,Amortization!$I$14:$L$374,3,FALSE),0)</f>
        <v>0</v>
      </c>
      <c r="BP49" s="14">
        <f>IF('Pro Forma'!BP$4&gt;='Inputs &amp; Assumptions'!$V$19,VLOOKUP('Pro Forma'!BP$4-1,Amortization!$I$14:$L$374,3,FALSE),0)</f>
        <v>0</v>
      </c>
      <c r="BQ49" s="14">
        <f>IF('Pro Forma'!BQ$4&gt;='Inputs &amp; Assumptions'!$V$19,VLOOKUP('Pro Forma'!BQ$4-1,Amortization!$I$14:$L$374,3,FALSE),0)</f>
        <v>0</v>
      </c>
      <c r="BR49" s="14">
        <f>SUM(BF49:BQ49)</f>
        <v>0</v>
      </c>
      <c r="BS49" s="14">
        <f>IF('Pro Forma'!BS$4&gt;='Inputs &amp; Assumptions'!$V$19,VLOOKUP('Pro Forma'!BS$4-1,Amortization!$I$14:$L$374,3,FALSE),0)</f>
        <v>37701.690598557878</v>
      </c>
      <c r="BT49" s="14">
        <f>IF('Pro Forma'!BT$4&gt;='Inputs &amp; Assumptions'!$V$19,VLOOKUP('Pro Forma'!BT$4-1,Amortization!$I$14:$L$374,3,FALSE),0)</f>
        <v>37890.199051550648</v>
      </c>
      <c r="BU49" s="14">
        <f>IF('Pro Forma'!BU$4&gt;='Inputs &amp; Assumptions'!$V$19,VLOOKUP('Pro Forma'!BU$4-1,Amortization!$I$14:$L$374,3,FALSE),0)</f>
        <v>38079.650046808383</v>
      </c>
      <c r="BV49" s="14">
        <f>IF('Pro Forma'!BV$4&gt;='Inputs &amp; Assumptions'!$V$19,VLOOKUP('Pro Forma'!BV$4-1,Amortization!$I$14:$L$374,3,FALSE),0)</f>
        <v>38270.048297042435</v>
      </c>
      <c r="BW49" s="14">
        <f>IF('Pro Forma'!BW$4&gt;='Inputs &amp; Assumptions'!$V$19,VLOOKUP('Pro Forma'!BW$4-1,Amortization!$I$14:$L$374,3,FALSE),0)</f>
        <v>38461.398538527632</v>
      </c>
      <c r="BX49" s="14">
        <f>IF('Pro Forma'!BX$4&gt;='Inputs &amp; Assumptions'!$V$19,VLOOKUP('Pro Forma'!BX$4-1,Amortization!$I$14:$L$374,3,FALSE),0)</f>
        <v>38653.705531220272</v>
      </c>
      <c r="BY49" s="14">
        <f>IF('Pro Forma'!BY$4&gt;='Inputs &amp; Assumptions'!$V$19,VLOOKUP('Pro Forma'!BY$4-1,Amortization!$I$14:$L$374,3,FALSE),0)</f>
        <v>38846.974058876367</v>
      </c>
      <c r="BZ49" s="14">
        <f>IF('Pro Forma'!BZ$4&gt;='Inputs &amp; Assumptions'!$V$19,VLOOKUP('Pro Forma'!BZ$4-1,Amortization!$I$14:$L$374,3,FALSE),0)</f>
        <v>39041.208929170767</v>
      </c>
      <c r="CA49" s="14">
        <f>IF('Pro Forma'!CA$4&gt;='Inputs &amp; Assumptions'!$V$19,VLOOKUP('Pro Forma'!CA$4-1,Amortization!$I$14:$L$374,3,FALSE),0)</f>
        <v>39236.414973816631</v>
      </c>
      <c r="CB49" s="14">
        <f>IF('Pro Forma'!CB$4&gt;='Inputs &amp; Assumptions'!$V$19,VLOOKUP('Pro Forma'!CB$4-1,Amortization!$I$14:$L$374,3,FALSE),0)</f>
        <v>39432.597048685711</v>
      </c>
      <c r="CC49" s="14">
        <f>IF('Pro Forma'!CC$4&gt;='Inputs &amp; Assumptions'!$V$19,VLOOKUP('Pro Forma'!CC$4-1,Amortization!$I$14:$L$374,3,FALSE),0)</f>
        <v>39629.760033929109</v>
      </c>
      <c r="CD49" s="14">
        <f>IF('Pro Forma'!CD$4&gt;='Inputs &amp; Assumptions'!$V$19,VLOOKUP('Pro Forma'!CD$4-1,Amortization!$I$14:$L$374,3,FALSE),0)</f>
        <v>39827.90883409878</v>
      </c>
      <c r="CE49" s="14">
        <f>SUM(BS49:CD49)</f>
        <v>465071.55594228458</v>
      </c>
      <c r="CF49" s="14">
        <f>IF('Pro Forma'!CF$4&gt;='Inputs &amp; Assumptions'!$V$19,VLOOKUP('Pro Forma'!CF$4-1,Amortization!$I$14:$L$374,3,FALSE),0)</f>
        <v>40027.048378269275</v>
      </c>
      <c r="CG49" s="14">
        <f>IF('Pro Forma'!CG$4&gt;='Inputs &amp; Assumptions'!$V$19,VLOOKUP('Pro Forma'!CG$4-1,Amortization!$I$14:$L$374,3,FALSE),0)</f>
        <v>40227.18362016062</v>
      </c>
      <c r="CH49" s="14">
        <f>IF('Pro Forma'!CH$4&gt;='Inputs &amp; Assumptions'!$V$19,VLOOKUP('Pro Forma'!CH$4-1,Amortization!$I$14:$L$374,3,FALSE),0)</f>
        <v>40428.319538261421</v>
      </c>
      <c r="CI49" s="14">
        <f>IF('Pro Forma'!CI$4&gt;='Inputs &amp; Assumptions'!$V$19,VLOOKUP('Pro Forma'!CI$4-1,Amortization!$I$14:$L$374,3,FALSE),0)</f>
        <v>40630.461135952704</v>
      </c>
      <c r="CJ49" s="14">
        <f>IF('Pro Forma'!CJ$4&gt;='Inputs &amp; Assumptions'!$V$19,VLOOKUP('Pro Forma'!CJ$4-1,Amortization!$I$14:$L$374,3,FALSE),0)</f>
        <v>40833.613441632449</v>
      </c>
      <c r="CK49" s="14">
        <f>IF('Pro Forma'!CK$4&gt;='Inputs &amp; Assumptions'!$V$19,VLOOKUP('Pro Forma'!CK$4-1,Amortization!$I$14:$L$374,3,FALSE),0)</f>
        <v>41037.78150884065</v>
      </c>
      <c r="CL49" s="14">
        <f>IF('Pro Forma'!CL$4&gt;='Inputs &amp; Assumptions'!$V$19,VLOOKUP('Pro Forma'!CL$4-1,Amortization!$I$14:$L$374,3,FALSE),0)</f>
        <v>41242.970416384836</v>
      </c>
      <c r="CM49" s="14">
        <f>IF('Pro Forma'!CM$4&gt;='Inputs &amp; Assumptions'!$V$19,VLOOKUP('Pro Forma'!CM$4-1,Amortization!$I$14:$L$374,3,FALSE),0)</f>
        <v>41449.185268466739</v>
      </c>
      <c r="CN49" s="14">
        <f>IF('Pro Forma'!CN$4&gt;='Inputs &amp; Assumptions'!$V$19,VLOOKUP('Pro Forma'!CN$4-1,Amortization!$I$14:$L$374,3,FALSE),0)</f>
        <v>41656.431194809091</v>
      </c>
      <c r="CO49" s="14">
        <f>IF('Pro Forma'!CO$4&gt;='Inputs &amp; Assumptions'!$V$19,VLOOKUP('Pro Forma'!CO$4-1,Amortization!$I$14:$L$374,3,FALSE),0)</f>
        <v>41864.71335078316</v>
      </c>
      <c r="CP49" s="14">
        <f>IF('Pro Forma'!CP$4&gt;='Inputs &amp; Assumptions'!$V$19,VLOOKUP('Pro Forma'!CP$4-1,Amortization!$I$14:$L$374,3,FALSE),0)</f>
        <v>42074.036917537043</v>
      </c>
      <c r="CQ49" s="14">
        <f>IF('Pro Forma'!CQ$4&gt;='Inputs &amp; Assumptions'!$V$19,VLOOKUP('Pro Forma'!CQ$4-1,Amortization!$I$14:$L$374,3,FALSE),0)</f>
        <v>42284.407102124736</v>
      </c>
      <c r="CR49" s="14">
        <f>SUM(CF49:CQ49)</f>
        <v>493756.15187322267</v>
      </c>
      <c r="CS49" s="14">
        <f>IF('Pro Forma'!CS$4&gt;='Inputs &amp; Assumptions'!$V$19,VLOOKUP('Pro Forma'!CS$4-1,Amortization!$I$14:$L$374,3,FALSE),0)</f>
        <v>42495.829137635359</v>
      </c>
      <c r="CT49" s="14">
        <f>IF('Pro Forma'!CT$4&gt;='Inputs &amp; Assumptions'!$V$19,VLOOKUP('Pro Forma'!CT$4-1,Amortization!$I$14:$L$374,3,FALSE),0)</f>
        <v>42708.308283323568</v>
      </c>
      <c r="CU49" s="14">
        <f>IF('Pro Forma'!CU$4&gt;='Inputs &amp; Assumptions'!$V$19,VLOOKUP('Pro Forma'!CU$4-1,Amortization!$I$14:$L$374,3,FALSE),0)</f>
        <v>42921.849824740144</v>
      </c>
      <c r="CV49" s="14">
        <f>IF('Pro Forma'!CV$4&gt;='Inputs &amp; Assumptions'!$V$19,VLOOKUP('Pro Forma'!CV$4-1,Amortization!$I$14:$L$374,3,FALSE),0)</f>
        <v>43136.459073863865</v>
      </c>
      <c r="CW49" s="14">
        <f>IF('Pro Forma'!CW$4&gt;='Inputs &amp; Assumptions'!$V$19,VLOOKUP('Pro Forma'!CW$4-1,Amortization!$I$14:$L$374,3,FALSE),0)</f>
        <v>43352.14136923317</v>
      </c>
      <c r="CX49" s="14">
        <f>IF('Pro Forma'!CX$4&gt;='Inputs &amp; Assumptions'!$V$19,VLOOKUP('Pro Forma'!CX$4-1,Amortization!$I$14:$L$374,3,FALSE),0)</f>
        <v>43568.902076079336</v>
      </c>
      <c r="CY49" s="14">
        <f>IF('Pro Forma'!CY$4&gt;='Inputs &amp; Assumptions'!$V$19,VLOOKUP('Pro Forma'!CY$4-1,Amortization!$I$14:$L$374,3,FALSE),0)</f>
        <v>43786.746586459747</v>
      </c>
      <c r="CZ49" s="14">
        <f>IF('Pro Forma'!CZ$4&gt;='Inputs &amp; Assumptions'!$V$19,VLOOKUP('Pro Forma'!CZ$4-1,Amortization!$I$14:$L$374,3,FALSE),0)</f>
        <v>44005.680319392035</v>
      </c>
      <c r="DA49" s="14">
        <f>IF('Pro Forma'!DA$4&gt;='Inputs &amp; Assumptions'!$V$19,VLOOKUP('Pro Forma'!DA$4-1,Amortization!$I$14:$L$374,3,FALSE),0)</f>
        <v>44225.708720988972</v>
      </c>
      <c r="DB49" s="14">
        <f>IF('Pro Forma'!DB$4&gt;='Inputs &amp; Assumptions'!$V$19,VLOOKUP('Pro Forma'!DB$4-1,Amortization!$I$14:$L$374,3,FALSE),0)</f>
        <v>44446.837264593894</v>
      </c>
      <c r="DC49" s="14">
        <f>IF('Pro Forma'!DC$4&gt;='Inputs &amp; Assumptions'!$V$19,VLOOKUP('Pro Forma'!DC$4-1,Amortization!$I$14:$L$374,3,FALSE),0)</f>
        <v>44669.071450916905</v>
      </c>
      <c r="DD49" s="14">
        <f>IF('Pro Forma'!DD$4&gt;='Inputs &amp; Assumptions'!$V$19,VLOOKUP('Pro Forma'!DD$4-1,Amortization!$I$14:$L$374,3,FALSE),0)</f>
        <v>44892.416808171489</v>
      </c>
      <c r="DE49" s="14">
        <f>SUM(CS49:DD49)</f>
        <v>524209.95091539848</v>
      </c>
      <c r="DF49" s="14">
        <f>IF('Pro Forma'!DF$4&gt;='Inputs &amp; Assumptions'!$V$19,VLOOKUP('Pro Forma'!DF$4-1,Amortization!$I$14:$L$374,3,FALSE),0)</f>
        <v>45116.878892212379</v>
      </c>
      <c r="DG49" s="14">
        <f>IF('Pro Forma'!DG$4&gt;='Inputs &amp; Assumptions'!$V$19,VLOOKUP('Pro Forma'!DG$4-1,Amortization!$I$14:$L$374,3,FALSE),0)</f>
        <v>45342.463286673446</v>
      </c>
      <c r="DH49" s="14">
        <f>IF('Pro Forma'!DH$4&gt;='Inputs &amp; Assumptions'!$V$19,VLOOKUP('Pro Forma'!DH$4-1,Amortization!$I$14:$L$374,3,FALSE),0)</f>
        <v>45569.175603106822</v>
      </c>
      <c r="DI49" s="14">
        <f>IF('Pro Forma'!DI$4&gt;='Inputs &amp; Assumptions'!$V$19,VLOOKUP('Pro Forma'!DI$4-1,Amortization!$I$14:$L$374,3,FALSE),0)</f>
        <v>45797.021481122327</v>
      </c>
      <c r="DJ49" s="14">
        <f>IF('Pro Forma'!DJ$4&gt;='Inputs &amp; Assumptions'!$V$19,VLOOKUP('Pro Forma'!DJ$4-1,Amortization!$I$14:$L$374,3,FALSE),0)</f>
        <v>46026.006588527962</v>
      </c>
      <c r="DK49" s="14">
        <f>IF('Pro Forma'!DK$4&gt;='Inputs &amp; Assumptions'!$V$19,VLOOKUP('Pro Forma'!DK$4-1,Amortization!$I$14:$L$374,3,FALSE),0)</f>
        <v>46256.136621470592</v>
      </c>
      <c r="DL49" s="14">
        <f>IF('Pro Forma'!DL$4&gt;='Inputs &amp; Assumptions'!$V$19,VLOOKUP('Pro Forma'!DL$4-1,Amortization!$I$14:$L$374,3,FALSE),0)</f>
        <v>46487.417304577917</v>
      </c>
      <c r="DM49" s="14">
        <f>IF('Pro Forma'!DM$4&gt;='Inputs &amp; Assumptions'!$V$19,VLOOKUP('Pro Forma'!DM$4-1,Amortization!$I$14:$L$374,3,FALSE),0)</f>
        <v>46719.854391100787</v>
      </c>
      <c r="DN49" s="14">
        <f>IF('Pro Forma'!DN$4&gt;='Inputs &amp; Assumptions'!$V$19,VLOOKUP('Pro Forma'!DN$4-1,Amortization!$I$14:$L$374,3,FALSE),0)</f>
        <v>46953.45366305628</v>
      </c>
      <c r="DO49" s="14">
        <f>IF('Pro Forma'!DO$4&gt;='Inputs &amp; Assumptions'!$V$19,VLOOKUP('Pro Forma'!DO$4-1,Amortization!$I$14:$L$374,3,FALSE),0)</f>
        <v>47188.220931371587</v>
      </c>
      <c r="DP49" s="14">
        <f>IF('Pro Forma'!DP$4&gt;='Inputs &amp; Assumptions'!$V$19,VLOOKUP('Pro Forma'!DP$4-1,Amortization!$I$14:$L$374,3,FALSE),0)</f>
        <v>47424.162036028429</v>
      </c>
      <c r="DQ49" s="14">
        <f>IF('Pro Forma'!DQ$4&gt;='Inputs &amp; Assumptions'!$V$19,VLOOKUP('Pro Forma'!DQ$4-1,Amortization!$I$14:$L$374,3,FALSE),0)</f>
        <v>47661.282846208604</v>
      </c>
      <c r="DR49" s="14">
        <f>SUM(DF49:DQ49)</f>
        <v>556542.07364545716</v>
      </c>
      <c r="DS49" s="14">
        <f>IF('Pro Forma'!DS$4&gt;='Inputs &amp; Assumptions'!$V$19,VLOOKUP('Pro Forma'!DS$4-1,Amortization!$I$14:$L$374,3,FALSE),0)</f>
        <v>47899.589260439592</v>
      </c>
      <c r="DT49" s="14">
        <f>IF('Pro Forma'!DT$4&gt;='Inputs &amp; Assumptions'!$V$19,VLOOKUP('Pro Forma'!DT$4-1,Amortization!$I$14:$L$374,3,FALSE),0)</f>
        <v>48139.087206741824</v>
      </c>
      <c r="DU49" s="14">
        <f>IF('Pro Forma'!DU$4&gt;='Inputs &amp; Assumptions'!$V$19,VLOOKUP('Pro Forma'!DU$4-1,Amortization!$I$14:$L$374,3,FALSE),0)</f>
        <v>48379.782642775506</v>
      </c>
      <c r="DV49" s="14">
        <f>IF('Pro Forma'!DV$4&gt;='Inputs &amp; Assumptions'!$V$19,VLOOKUP('Pro Forma'!DV$4-1,Amortization!$I$14:$L$374,3,FALSE),0)</f>
        <v>48621.681555989402</v>
      </c>
      <c r="DW49" s="14">
        <f>IF('Pro Forma'!DW$4&gt;='Inputs &amp; Assumptions'!$V$19,VLOOKUP('Pro Forma'!DW$4-1,Amortization!$I$14:$L$374,3,FALSE),0)</f>
        <v>48864.789963769319</v>
      </c>
      <c r="DX49" s="14">
        <f>IF('Pro Forma'!DX$4&gt;='Inputs &amp; Assumptions'!$V$19,VLOOKUP('Pro Forma'!DX$4-1,Amortization!$I$14:$L$374,3,FALSE),0)</f>
        <v>49109.113913588168</v>
      </c>
      <c r="DY49" s="14">
        <f>IF('Pro Forma'!DY$4&gt;='Inputs &amp; Assumptions'!$V$19,VLOOKUP('Pro Forma'!DY$4-1,Amortization!$I$14:$L$374,3,FALSE),0)</f>
        <v>49354.659483156109</v>
      </c>
      <c r="DZ49" s="14">
        <f>IF('Pro Forma'!DZ$4&gt;='Inputs &amp; Assumptions'!$V$19,VLOOKUP('Pro Forma'!DZ$4-1,Amortization!$I$14:$L$374,3,FALSE),0)</f>
        <v>49601.432780571893</v>
      </c>
      <c r="EA49" s="14">
        <f>IF('Pro Forma'!EA$4&gt;='Inputs &amp; Assumptions'!$V$19,VLOOKUP('Pro Forma'!EA$4-1,Amortization!$I$14:$L$374,3,FALSE),0)</f>
        <v>49849.439944474754</v>
      </c>
      <c r="EB49" s="14">
        <f>IF('Pro Forma'!EB$4&gt;='Inputs &amp; Assumptions'!$V$19,VLOOKUP('Pro Forma'!EB$4-1,Amortization!$I$14:$L$374,3,FALSE),0)</f>
        <v>50098.687144197116</v>
      </c>
      <c r="EC49" s="14">
        <f>IF('Pro Forma'!EC$4&gt;='Inputs &amp; Assumptions'!$V$19,VLOOKUP('Pro Forma'!EC$4-1,Amortization!$I$14:$L$374,3,FALSE),0)</f>
        <v>50349.180579918117</v>
      </c>
      <c r="ED49" s="14">
        <f>IF('Pro Forma'!ED$4&gt;='Inputs &amp; Assumptions'!$V$19,VLOOKUP('Pro Forma'!ED$4-1,Amortization!$I$14:$L$374,3,FALSE),0)</f>
        <v>50600.926482817682</v>
      </c>
      <c r="EE49" s="761">
        <f>SUM(DS49:ED49)</f>
        <v>590868.37095843954</v>
      </c>
      <c r="EF49" s="11"/>
      <c r="EG49" s="11"/>
      <c r="EH49" s="11"/>
      <c r="EI49" s="11"/>
    </row>
    <row r="50" spans="2:139" ht="16.5" customHeight="1">
      <c r="B50" s="767"/>
      <c r="C50" s="1056" t="s">
        <v>215</v>
      </c>
      <c r="D50" s="1056"/>
      <c r="E50" s="1056"/>
      <c r="F50" s="1106">
        <f>SUM(F48:F49)</f>
        <v>0</v>
      </c>
      <c r="G50" s="1106">
        <f t="shared" ref="G50" si="469">SUM(G48:G49)</f>
        <v>0</v>
      </c>
      <c r="H50" s="1106">
        <f t="shared" ref="H50" si="470">SUM(H48:H49)</f>
        <v>0</v>
      </c>
      <c r="I50" s="1106">
        <f t="shared" ref="I50" si="471">SUM(I48:I49)</f>
        <v>0</v>
      </c>
      <c r="J50" s="1106">
        <f t="shared" ref="J50" si="472">SUM(J48:J49)</f>
        <v>0</v>
      </c>
      <c r="K50" s="1106">
        <f t="shared" ref="K50" si="473">SUM(K48:K49)</f>
        <v>0</v>
      </c>
      <c r="L50" s="1106">
        <f t="shared" ref="L50" si="474">SUM(L48:L49)</f>
        <v>0</v>
      </c>
      <c r="M50" s="1106">
        <f t="shared" ref="M50" si="475">SUM(M48:M49)</f>
        <v>0</v>
      </c>
      <c r="N50" s="1106">
        <f t="shared" ref="N50" si="476">SUM(N48:N49)</f>
        <v>0</v>
      </c>
      <c r="O50" s="1106">
        <f t="shared" ref="O50" si="477">SUM(O48:O49)</f>
        <v>0</v>
      </c>
      <c r="P50" s="1106">
        <f t="shared" ref="P50" si="478">SUM(P48:P49)</f>
        <v>0</v>
      </c>
      <c r="Q50" s="1106">
        <f t="shared" ref="Q50" si="479">SUM(Q48:Q49)</f>
        <v>0</v>
      </c>
      <c r="R50" s="156">
        <f>SUM(F50:Q50)</f>
        <v>0</v>
      </c>
      <c r="S50" s="1106">
        <f>SUM(S48:S49)</f>
        <v>0</v>
      </c>
      <c r="T50" s="1106">
        <f t="shared" ref="T50:AD50" si="480">SUM(T48:T49)</f>
        <v>0</v>
      </c>
      <c r="U50" s="1106">
        <f t="shared" si="480"/>
        <v>0</v>
      </c>
      <c r="V50" s="1106">
        <f t="shared" si="480"/>
        <v>0</v>
      </c>
      <c r="W50" s="1106">
        <f t="shared" si="480"/>
        <v>0</v>
      </c>
      <c r="X50" s="1106">
        <f t="shared" si="480"/>
        <v>0</v>
      </c>
      <c r="Y50" s="1106">
        <f t="shared" si="480"/>
        <v>0</v>
      </c>
      <c r="Z50" s="1106">
        <f t="shared" si="480"/>
        <v>0</v>
      </c>
      <c r="AA50" s="1106">
        <f t="shared" si="480"/>
        <v>0</v>
      </c>
      <c r="AB50" s="1106">
        <f t="shared" si="480"/>
        <v>0</v>
      </c>
      <c r="AC50" s="1106">
        <f t="shared" si="480"/>
        <v>0</v>
      </c>
      <c r="AD50" s="1106">
        <f t="shared" si="480"/>
        <v>0</v>
      </c>
      <c r="AE50" s="156">
        <f>SUM(S50:AD50)</f>
        <v>0</v>
      </c>
      <c r="AF50" s="1106">
        <f>SUM(AF48:AF49)</f>
        <v>0</v>
      </c>
      <c r="AG50" s="1106">
        <f t="shared" ref="AG50" si="481">SUM(AG48:AG49)</f>
        <v>0</v>
      </c>
      <c r="AH50" s="1106">
        <f t="shared" ref="AH50" si="482">SUM(AH48:AH49)</f>
        <v>0</v>
      </c>
      <c r="AI50" s="1106">
        <f t="shared" ref="AI50" si="483">SUM(AI48:AI49)</f>
        <v>0</v>
      </c>
      <c r="AJ50" s="1106">
        <f t="shared" ref="AJ50" si="484">SUM(AJ48:AJ49)</f>
        <v>0</v>
      </c>
      <c r="AK50" s="1106">
        <f t="shared" ref="AK50" si="485">SUM(AK48:AK49)</f>
        <v>0</v>
      </c>
      <c r="AL50" s="1106">
        <f>SUM(AL48:AL49)</f>
        <v>0</v>
      </c>
      <c r="AM50" s="1106">
        <f t="shared" ref="AM50" si="486">SUM(AM48:AM49)</f>
        <v>0</v>
      </c>
      <c r="AN50" s="1106">
        <f t="shared" ref="AN50" si="487">SUM(AN48:AN49)</f>
        <v>0</v>
      </c>
      <c r="AO50" s="1106">
        <f t="shared" ref="AO50" si="488">SUM(AO48:AO49)</f>
        <v>0</v>
      </c>
      <c r="AP50" s="1106">
        <f t="shared" ref="AP50" si="489">SUM(AP48:AP49)</f>
        <v>0</v>
      </c>
      <c r="AQ50" s="1106">
        <f t="shared" ref="AQ50" si="490">SUM(AQ48:AQ49)</f>
        <v>0</v>
      </c>
      <c r="AR50" s="156">
        <f>SUM(AF50:AQ50)</f>
        <v>0</v>
      </c>
      <c r="AS50" s="1106">
        <f>SUM(AS48:AS49)</f>
        <v>189359.57666073402</v>
      </c>
      <c r="AT50" s="1106">
        <f t="shared" ref="AT50" si="491">SUM(AT48:AT49)</f>
        <v>189359.57666073402</v>
      </c>
      <c r="AU50" s="1106">
        <f t="shared" ref="AU50" si="492">SUM(AU48:AU49)</f>
        <v>189359.57666073402</v>
      </c>
      <c r="AV50" s="1106">
        <f t="shared" ref="AV50" si="493">SUM(AV48:AV49)</f>
        <v>189359.57666073402</v>
      </c>
      <c r="AW50" s="1106">
        <f t="shared" ref="AW50" si="494">SUM(AW48:AW49)</f>
        <v>189359.57666073402</v>
      </c>
      <c r="AX50" s="1106">
        <f t="shared" ref="AX50" si="495">SUM(AX48:AX49)</f>
        <v>189359.57666073402</v>
      </c>
      <c r="AY50" s="1106">
        <f t="shared" ref="AY50" si="496">SUM(AY48:AY49)</f>
        <v>189359.57666073402</v>
      </c>
      <c r="AZ50" s="1106">
        <f t="shared" ref="AZ50" si="497">SUM(AZ48:AZ49)</f>
        <v>189359.57666073402</v>
      </c>
      <c r="BA50" s="1106">
        <f t="shared" ref="BA50" si="498">SUM(BA48:BA49)</f>
        <v>189359.57666073402</v>
      </c>
      <c r="BB50" s="1106">
        <f t="shared" ref="BB50" si="499">SUM(BB48:BB49)</f>
        <v>189359.57666073402</v>
      </c>
      <c r="BC50" s="1106">
        <f t="shared" ref="BC50" si="500">SUM(BC48:BC49)</f>
        <v>189359.57666073402</v>
      </c>
      <c r="BD50" s="1106">
        <f t="shared" ref="BD50" si="501">SUM(BD48:BD49)</f>
        <v>189359.57666073402</v>
      </c>
      <c r="BE50" s="156">
        <f>SUM(AS50:BD50)</f>
        <v>2272314.9199288087</v>
      </c>
      <c r="BF50" s="1106">
        <f>SUM(BF48:BF49)</f>
        <v>189359.57666073402</v>
      </c>
      <c r="BG50" s="1106">
        <f t="shared" ref="BG50" si="502">SUM(BG48:BG49)</f>
        <v>189359.57666073402</v>
      </c>
      <c r="BH50" s="1106">
        <f t="shared" ref="BH50" si="503">SUM(BH48:BH49)</f>
        <v>189359.57666073402</v>
      </c>
      <c r="BI50" s="1106">
        <f t="shared" ref="BI50" si="504">SUM(BI48:BI49)</f>
        <v>189359.57666073402</v>
      </c>
      <c r="BJ50" s="1106">
        <f t="shared" ref="BJ50" si="505">SUM(BJ48:BJ49)</f>
        <v>189359.57666073402</v>
      </c>
      <c r="BK50" s="1106">
        <f t="shared" ref="BK50" si="506">SUM(BK48:BK49)</f>
        <v>189359.57666073402</v>
      </c>
      <c r="BL50" s="1106">
        <f t="shared" ref="BL50" si="507">SUM(BL48:BL49)</f>
        <v>189359.57666073402</v>
      </c>
      <c r="BM50" s="1106">
        <f t="shared" ref="BM50" si="508">SUM(BM48:BM49)</f>
        <v>189359.57666073402</v>
      </c>
      <c r="BN50" s="1106">
        <f t="shared" ref="BN50" si="509">SUM(BN48:BN49)</f>
        <v>189359.57666073402</v>
      </c>
      <c r="BO50" s="1106">
        <f t="shared" ref="BO50" si="510">SUM(BO48:BO49)</f>
        <v>189359.57666073402</v>
      </c>
      <c r="BP50" s="1106">
        <f t="shared" ref="BP50" si="511">SUM(BP48:BP49)</f>
        <v>189359.57666073402</v>
      </c>
      <c r="BQ50" s="1106">
        <f t="shared" ref="BQ50" si="512">SUM(BQ48:BQ49)</f>
        <v>189359.57666073402</v>
      </c>
      <c r="BR50" s="156">
        <f>SUM(BF50:BQ50)</f>
        <v>2272314.9199288087</v>
      </c>
      <c r="BS50" s="1106">
        <f>SUM(BS48:BS49)</f>
        <v>227061.2672592919</v>
      </c>
      <c r="BT50" s="1106">
        <f t="shared" ref="BT50" si="513">SUM(BT48:BT49)</f>
        <v>227061.2672592919</v>
      </c>
      <c r="BU50" s="1106">
        <f t="shared" ref="BU50" si="514">SUM(BU48:BU49)</f>
        <v>227061.2672592919</v>
      </c>
      <c r="BV50" s="1106">
        <f t="shared" ref="BV50" si="515">SUM(BV48:BV49)</f>
        <v>227061.2672592919</v>
      </c>
      <c r="BW50" s="1106">
        <f t="shared" ref="BW50" si="516">SUM(BW48:BW49)</f>
        <v>227061.2672592919</v>
      </c>
      <c r="BX50" s="1106">
        <f t="shared" ref="BX50" si="517">SUM(BX48:BX49)</f>
        <v>227061.2672592919</v>
      </c>
      <c r="BY50" s="1106">
        <f t="shared" ref="BY50" si="518">SUM(BY48:BY49)</f>
        <v>227061.2672592919</v>
      </c>
      <c r="BZ50" s="1106">
        <f t="shared" ref="BZ50" si="519">SUM(BZ48:BZ49)</f>
        <v>227061.2672592919</v>
      </c>
      <c r="CA50" s="1106">
        <f t="shared" ref="CA50" si="520">SUM(CA48:CA49)</f>
        <v>227061.2672592919</v>
      </c>
      <c r="CB50" s="1106">
        <f t="shared" ref="CB50" si="521">SUM(CB48:CB49)</f>
        <v>227061.2672592919</v>
      </c>
      <c r="CC50" s="1106">
        <f t="shared" ref="CC50" si="522">SUM(CC48:CC49)</f>
        <v>227061.2672592919</v>
      </c>
      <c r="CD50" s="1106">
        <f t="shared" ref="CD50" si="523">SUM(CD48:CD49)</f>
        <v>227061.2672592919</v>
      </c>
      <c r="CE50" s="156">
        <f>SUM(BS50:CD50)</f>
        <v>2724735.2071115025</v>
      </c>
      <c r="CF50" s="1106">
        <f>SUM(CF48:CF49)</f>
        <v>227061.2672592919</v>
      </c>
      <c r="CG50" s="1106">
        <f t="shared" ref="CG50" si="524">SUM(CG48:CG49)</f>
        <v>227061.2672592919</v>
      </c>
      <c r="CH50" s="1106">
        <f t="shared" ref="CH50" si="525">SUM(CH48:CH49)</f>
        <v>227061.2672592919</v>
      </c>
      <c r="CI50" s="1106">
        <f t="shared" ref="CI50" si="526">SUM(CI48:CI49)</f>
        <v>227061.2672592919</v>
      </c>
      <c r="CJ50" s="1106">
        <f t="shared" ref="CJ50" si="527">SUM(CJ48:CJ49)</f>
        <v>227061.2672592919</v>
      </c>
      <c r="CK50" s="1106">
        <f t="shared" ref="CK50" si="528">SUM(CK48:CK49)</f>
        <v>227061.2672592919</v>
      </c>
      <c r="CL50" s="1106">
        <f t="shared" ref="CL50" si="529">SUM(CL48:CL49)</f>
        <v>227061.2672592919</v>
      </c>
      <c r="CM50" s="1106">
        <f t="shared" ref="CM50" si="530">SUM(CM48:CM49)</f>
        <v>227061.2672592919</v>
      </c>
      <c r="CN50" s="1106">
        <f t="shared" ref="CN50" si="531">SUM(CN48:CN49)</f>
        <v>227061.2672592919</v>
      </c>
      <c r="CO50" s="1106">
        <f t="shared" ref="CO50" si="532">SUM(CO48:CO49)</f>
        <v>227061.2672592919</v>
      </c>
      <c r="CP50" s="1106">
        <f t="shared" ref="CP50" si="533">SUM(CP48:CP49)</f>
        <v>227061.2672592919</v>
      </c>
      <c r="CQ50" s="1106">
        <f t="shared" ref="CQ50" si="534">SUM(CQ48:CQ49)</f>
        <v>227061.2672592919</v>
      </c>
      <c r="CR50" s="156">
        <f>SUM(CF50:CQ50)</f>
        <v>2724735.2071115025</v>
      </c>
      <c r="CS50" s="1106">
        <f>SUM(CS48:CS49)</f>
        <v>227061.2672592919</v>
      </c>
      <c r="CT50" s="1106">
        <f t="shared" ref="CT50" si="535">SUM(CT48:CT49)</f>
        <v>227061.2672592919</v>
      </c>
      <c r="CU50" s="1106">
        <f t="shared" ref="CU50" si="536">SUM(CU48:CU49)</f>
        <v>227061.2672592919</v>
      </c>
      <c r="CV50" s="1106">
        <f t="shared" ref="CV50" si="537">SUM(CV48:CV49)</f>
        <v>227061.2672592919</v>
      </c>
      <c r="CW50" s="1106">
        <f t="shared" ref="CW50" si="538">SUM(CW48:CW49)</f>
        <v>227061.2672592919</v>
      </c>
      <c r="CX50" s="1106">
        <f t="shared" ref="CX50" si="539">SUM(CX48:CX49)</f>
        <v>227061.2672592919</v>
      </c>
      <c r="CY50" s="1106">
        <f t="shared" ref="CY50" si="540">SUM(CY48:CY49)</f>
        <v>227061.2672592919</v>
      </c>
      <c r="CZ50" s="1106">
        <f t="shared" ref="CZ50" si="541">SUM(CZ48:CZ49)</f>
        <v>227061.2672592919</v>
      </c>
      <c r="DA50" s="1106">
        <f t="shared" ref="DA50" si="542">SUM(DA48:DA49)</f>
        <v>227061.2672592919</v>
      </c>
      <c r="DB50" s="1106">
        <f t="shared" ref="DB50" si="543">SUM(DB48:DB49)</f>
        <v>227061.2672592919</v>
      </c>
      <c r="DC50" s="1106">
        <f t="shared" ref="DC50" si="544">SUM(DC48:DC49)</f>
        <v>227061.2672592919</v>
      </c>
      <c r="DD50" s="1106">
        <f t="shared" ref="DD50" si="545">SUM(DD48:DD49)</f>
        <v>227061.2672592919</v>
      </c>
      <c r="DE50" s="156">
        <f>SUM(CS50:DD50)</f>
        <v>2724735.2071115025</v>
      </c>
      <c r="DF50" s="1106">
        <f>SUM(DF48:DF49)</f>
        <v>227061.2672592919</v>
      </c>
      <c r="DG50" s="1106">
        <f t="shared" ref="DG50" si="546">SUM(DG48:DG49)</f>
        <v>227061.2672592919</v>
      </c>
      <c r="DH50" s="1106">
        <f t="shared" ref="DH50" si="547">SUM(DH48:DH49)</f>
        <v>227061.2672592919</v>
      </c>
      <c r="DI50" s="1106">
        <f t="shared" ref="DI50" si="548">SUM(DI48:DI49)</f>
        <v>227061.2672592919</v>
      </c>
      <c r="DJ50" s="1106">
        <f t="shared" ref="DJ50" si="549">SUM(DJ48:DJ49)</f>
        <v>227061.2672592919</v>
      </c>
      <c r="DK50" s="1106">
        <f t="shared" ref="DK50" si="550">SUM(DK48:DK49)</f>
        <v>227061.2672592919</v>
      </c>
      <c r="DL50" s="1106">
        <f t="shared" ref="DL50" si="551">SUM(DL48:DL49)</f>
        <v>227061.2672592919</v>
      </c>
      <c r="DM50" s="1106">
        <f t="shared" ref="DM50" si="552">SUM(DM48:DM49)</f>
        <v>227061.2672592919</v>
      </c>
      <c r="DN50" s="1106">
        <f t="shared" ref="DN50" si="553">SUM(DN48:DN49)</f>
        <v>227061.2672592919</v>
      </c>
      <c r="DO50" s="1106">
        <f t="shared" ref="DO50" si="554">SUM(DO48:DO49)</f>
        <v>227061.2672592919</v>
      </c>
      <c r="DP50" s="1106">
        <f t="shared" ref="DP50" si="555">SUM(DP48:DP49)</f>
        <v>227061.2672592919</v>
      </c>
      <c r="DQ50" s="1106">
        <f t="shared" ref="DQ50" si="556">SUM(DQ48:DQ49)</f>
        <v>227061.2672592919</v>
      </c>
      <c r="DR50" s="156">
        <f>SUM(DF50:DQ50)</f>
        <v>2724735.2071115025</v>
      </c>
      <c r="DS50" s="1106">
        <f>SUM(DS48:DS49)</f>
        <v>227061.2672592919</v>
      </c>
      <c r="DT50" s="1106">
        <f t="shared" ref="DT50" si="557">SUM(DT48:DT49)</f>
        <v>227061.2672592919</v>
      </c>
      <c r="DU50" s="1106">
        <f t="shared" ref="DU50" si="558">SUM(DU48:DU49)</f>
        <v>227061.2672592919</v>
      </c>
      <c r="DV50" s="1106">
        <f t="shared" ref="DV50" si="559">SUM(DV48:DV49)</f>
        <v>227061.2672592919</v>
      </c>
      <c r="DW50" s="1106">
        <f t="shared" ref="DW50" si="560">SUM(DW48:DW49)</f>
        <v>227061.2672592919</v>
      </c>
      <c r="DX50" s="1106">
        <f t="shared" ref="DX50" si="561">SUM(DX48:DX49)</f>
        <v>227061.2672592919</v>
      </c>
      <c r="DY50" s="1106">
        <f t="shared" ref="DY50" si="562">SUM(DY48:DY49)</f>
        <v>227061.2672592919</v>
      </c>
      <c r="DZ50" s="1106">
        <f t="shared" ref="DZ50" si="563">SUM(DZ48:DZ49)</f>
        <v>227061.2672592919</v>
      </c>
      <c r="EA50" s="1106">
        <f t="shared" ref="EA50" si="564">SUM(EA48:EA49)</f>
        <v>227061.2672592919</v>
      </c>
      <c r="EB50" s="1106">
        <f t="shared" ref="EB50" si="565">SUM(EB48:EB49)</f>
        <v>227061.2672592919</v>
      </c>
      <c r="EC50" s="1106">
        <f t="shared" ref="EC50" si="566">SUM(EC48:EC49)</f>
        <v>227061.2672592919</v>
      </c>
      <c r="ED50" s="1106">
        <f t="shared" ref="ED50" si="567">SUM(ED48:ED49)</f>
        <v>227061.2672592919</v>
      </c>
      <c r="EE50" s="243">
        <f>SUM(DS50:ED50)</f>
        <v>2724735.2071115025</v>
      </c>
      <c r="EF50" s="11"/>
      <c r="EG50" s="11"/>
      <c r="EH50" s="11"/>
      <c r="EI50" s="11"/>
    </row>
    <row r="51" spans="2:139">
      <c r="B51" s="161"/>
      <c r="C51" t="s">
        <v>312</v>
      </c>
      <c r="F51" s="12">
        <f>IF(F4&gt;='Inputs &amp; Assumptions'!$V$19,VLOOKUP(F4,Amortization!$I$14:$L$374,4,FALSE),0)</f>
        <v>0</v>
      </c>
      <c r="G51" s="12">
        <f>IF(G4&gt;='Inputs &amp; Assumptions'!$V$19,VLOOKUP(G4-1,Amortization!$I$14:$L$374,4,FALSE),0)</f>
        <v>0</v>
      </c>
      <c r="H51" s="12">
        <f>IF(H4&gt;='Inputs &amp; Assumptions'!$V$19,VLOOKUP(H4-1,Amortization!$I$14:$L$374,4,FALSE),0)</f>
        <v>0</v>
      </c>
      <c r="I51" s="12">
        <f>IF(I4&gt;='Inputs &amp; Assumptions'!$V$19,VLOOKUP(I4-1,Amortization!$I$14:$L$374,4,FALSE),0)</f>
        <v>0</v>
      </c>
      <c r="J51" s="12">
        <f>IF(J4&gt;='Inputs &amp; Assumptions'!$V$19,VLOOKUP(J4-1,Amortization!$I$14:$L$374,4,FALSE),0)</f>
        <v>0</v>
      </c>
      <c r="K51" s="12">
        <f>IF(K4&gt;='Inputs &amp; Assumptions'!$V$19,VLOOKUP(K4-1,Amortization!$I$14:$L$374,4,FALSE),0)</f>
        <v>0</v>
      </c>
      <c r="L51" s="12">
        <f>IF(L4&gt;='Inputs &amp; Assumptions'!$V$19,VLOOKUP(L4-1,Amortization!$I$14:$L$374,4,FALSE),0)</f>
        <v>0</v>
      </c>
      <c r="M51" s="12">
        <f>IF(M4&gt;='Inputs &amp; Assumptions'!$V$19,VLOOKUP(M4-1,Amortization!$I$14:$L$374,4,FALSE),0)</f>
        <v>0</v>
      </c>
      <c r="N51" s="12">
        <f>IF(N4&gt;='Inputs &amp; Assumptions'!$V$19,VLOOKUP(N4-1,Amortization!$I$14:$L$374,4,FALSE),0)</f>
        <v>0</v>
      </c>
      <c r="O51" s="12">
        <f>IF(O4&gt;='Inputs &amp; Assumptions'!$V$19,VLOOKUP(O4-1,Amortization!$I$14:$L$374,4,FALSE),0)</f>
        <v>0</v>
      </c>
      <c r="P51" s="12">
        <f>IF(P4&gt;='Inputs &amp; Assumptions'!$V$19,VLOOKUP(P4-1,Amortization!$I$14:$L$374,4,FALSE),0)</f>
        <v>0</v>
      </c>
      <c r="Q51" s="12">
        <f>IF(Q4&gt;='Inputs &amp; Assumptions'!$V$19,VLOOKUP(Q4-1,Amortization!$I$14:$L$374,4,FALSE),0)</f>
        <v>0</v>
      </c>
      <c r="R51" s="12">
        <f>Q51</f>
        <v>0</v>
      </c>
      <c r="S51" s="12">
        <f>IF(S4&gt;='Inputs &amp; Assumptions'!$V$19,VLOOKUP(S4-1,Amortization!$I$14:$L$374,4,FALSE),0)</f>
        <v>0</v>
      </c>
      <c r="T51" s="12">
        <f>IF(T4&gt;='Inputs &amp; Assumptions'!$V$19,VLOOKUP(T4-1,Amortization!$I$14:$L$374,4,FALSE),0)</f>
        <v>0</v>
      </c>
      <c r="U51" s="12">
        <f>IF(U4&gt;='Inputs &amp; Assumptions'!$V$19,VLOOKUP(U4-1,Amortization!$I$14:$L$374,4,FALSE),0)</f>
        <v>0</v>
      </c>
      <c r="V51" s="12">
        <f>IF(V4&gt;='Inputs &amp; Assumptions'!$V$19,VLOOKUP(V4-1,Amortization!$I$14:$L$374,4,FALSE),0)</f>
        <v>0</v>
      </c>
      <c r="W51" s="12">
        <f>IF(W4&gt;='Inputs &amp; Assumptions'!$V$19,VLOOKUP(W4-1,Amortization!$I$14:$L$374,4,FALSE),0)</f>
        <v>0</v>
      </c>
      <c r="X51" s="12">
        <f>IF(X4&gt;='Inputs &amp; Assumptions'!$V$19,VLOOKUP(X4-1,Amortization!$I$14:$L$374,4,FALSE),0)</f>
        <v>0</v>
      </c>
      <c r="Y51" s="12">
        <f>IF(Y4&gt;='Inputs &amp; Assumptions'!$V$19,VLOOKUP(Y4-1,Amortization!$I$14:$L$374,4,FALSE),0)</f>
        <v>0</v>
      </c>
      <c r="Z51" s="12">
        <f>IF(Z4&gt;='Inputs &amp; Assumptions'!$V$19,VLOOKUP(Z4-1,Amortization!$I$14:$L$374,4,FALSE),0)</f>
        <v>0</v>
      </c>
      <c r="AA51" s="12">
        <f>IF(AA4&gt;='Inputs &amp; Assumptions'!$V$19,VLOOKUP(AA4-1,Amortization!$I$14:$L$374,4,FALSE),0)</f>
        <v>0</v>
      </c>
      <c r="AB51" s="12">
        <f>IF(AB4&gt;='Inputs &amp; Assumptions'!$V$19,VLOOKUP(AB4-1,Amortization!$I$14:$L$374,4,FALSE),0)</f>
        <v>0</v>
      </c>
      <c r="AC51" s="12">
        <f>IF(AC4&gt;='Inputs &amp; Assumptions'!$V$19,VLOOKUP(AC4-1,Amortization!$I$14:$L$374,4,FALSE),0)</f>
        <v>0</v>
      </c>
      <c r="AD51" s="12">
        <f>IF(AD4&gt;='Inputs &amp; Assumptions'!$V$19,VLOOKUP(AD4-1,Amortization!$I$14:$L$374,4,FALSE),0)</f>
        <v>0</v>
      </c>
      <c r="AE51" s="12">
        <f>AD51</f>
        <v>0</v>
      </c>
      <c r="AF51" s="12">
        <f>IF(AF4&gt;='Inputs &amp; Assumptions'!$V$19,VLOOKUP(AF4-1,Amortization!$I$14:$L$374,4,FALSE),0)</f>
        <v>0</v>
      </c>
      <c r="AG51" s="12">
        <f>IF(AG4&gt;='Inputs &amp; Assumptions'!$V$19,VLOOKUP(AG4-1,Amortization!$I$14:$L$374,4,FALSE),0)</f>
        <v>0</v>
      </c>
      <c r="AH51" s="12">
        <f>IF(AH4&gt;='Inputs &amp; Assumptions'!$V$19,VLOOKUP(AH4-1,Amortization!$I$14:$L$374,4,FALSE),0)</f>
        <v>0</v>
      </c>
      <c r="AI51" s="12">
        <f>IF(AI4&gt;='Inputs &amp; Assumptions'!$V$19,VLOOKUP(AI4-1,Amortization!$I$14:$L$374,4,FALSE),0)</f>
        <v>0</v>
      </c>
      <c r="AJ51" s="12">
        <f>IF(AJ4&gt;='Inputs &amp; Assumptions'!$V$19,VLOOKUP(AJ4-1,Amortization!$I$14:$L$374,4,FALSE),0)</f>
        <v>0</v>
      </c>
      <c r="AK51" s="12">
        <f>IF(AK4&gt;='Inputs &amp; Assumptions'!$V$19,VLOOKUP(AK4-1,Amortization!$I$14:$L$374,4,FALSE),0)</f>
        <v>0</v>
      </c>
      <c r="AL51" s="12">
        <f>IF(AL4&gt;='Inputs &amp; Assumptions'!$V$19,VLOOKUP(AL4-1,Amortization!$I$14:$L$374,4,FALSE),0)</f>
        <v>0</v>
      </c>
      <c r="AM51" s="12">
        <f>IF(AM4&gt;='Inputs &amp; Assumptions'!$V$19,VLOOKUP(AM4-1,Amortization!$I$14:$L$374,4,FALSE),0)</f>
        <v>0</v>
      </c>
      <c r="AN51" s="12">
        <f>IF(AN4&gt;='Inputs &amp; Assumptions'!$V$19,VLOOKUP(AN4-1,Amortization!$I$14:$L$374,4,FALSE),0)</f>
        <v>0</v>
      </c>
      <c r="AO51" s="12">
        <f>IF(AO4&gt;='Inputs &amp; Assumptions'!$V$19,VLOOKUP(AO4-1,Amortization!$I$14:$L$374,4,FALSE),0)</f>
        <v>0</v>
      </c>
      <c r="AP51" s="12">
        <f>IF(AP4&gt;='Inputs &amp; Assumptions'!$V$19,VLOOKUP(AP4-1,Amortization!$I$14:$L$374,4,FALSE),0)</f>
        <v>0</v>
      </c>
      <c r="AQ51" s="12">
        <f>IF(AQ4&gt;='Inputs &amp; Assumptions'!$V$19,VLOOKUP(AQ4-1,Amortization!$I$14:$L$374,4,FALSE),0)</f>
        <v>0</v>
      </c>
      <c r="AR51" s="12">
        <f>AQ51</f>
        <v>0</v>
      </c>
      <c r="AS51" s="12">
        <f>IF(AS4&gt;='Inputs &amp; Assumptions'!$V$19,VLOOKUP(AS4-1,Amortization!$I$14:$L$374,4,FALSE),0)</f>
        <v>37871915.332146809</v>
      </c>
      <c r="AT51" s="12">
        <f>IF(AT4&gt;='Inputs &amp; Assumptions'!$V$19,VLOOKUP(AT4-1,Amortization!$I$14:$L$374,4,FALSE),0)</f>
        <v>37871915.332146809</v>
      </c>
      <c r="AU51" s="12">
        <f>IF(AU4&gt;='Inputs &amp; Assumptions'!$V$19,VLOOKUP(AU4-1,Amortization!$I$14:$L$374,4,FALSE),0)</f>
        <v>37871915.332146809</v>
      </c>
      <c r="AV51" s="12">
        <f>IF(AV4&gt;='Inputs &amp; Assumptions'!$V$19,VLOOKUP(AV4-1,Amortization!$I$14:$L$374,4,FALSE),0)</f>
        <v>37871915.332146809</v>
      </c>
      <c r="AW51" s="12">
        <f>IF(AW4&gt;='Inputs &amp; Assumptions'!$V$19,VLOOKUP(AW4-1,Amortization!$I$14:$L$374,4,FALSE),0)</f>
        <v>37871915.332146809</v>
      </c>
      <c r="AX51" s="12">
        <f>IF(AX4&gt;='Inputs &amp; Assumptions'!$V$19,VLOOKUP(AX4-1,Amortization!$I$14:$L$374,4,FALSE),0)</f>
        <v>37871915.332146809</v>
      </c>
      <c r="AY51" s="12">
        <f>IF(AY4&gt;='Inputs &amp; Assumptions'!$V$19,VLOOKUP(AY4-1,Amortization!$I$14:$L$374,4,FALSE),0)</f>
        <v>37871915.332146809</v>
      </c>
      <c r="AZ51" s="12">
        <f>IF(AZ4&gt;='Inputs &amp; Assumptions'!$V$19,VLOOKUP(AZ4-1,Amortization!$I$14:$L$374,4,FALSE),0)</f>
        <v>37871915.332146809</v>
      </c>
      <c r="BA51" s="12">
        <f>IF(BA4&gt;='Inputs &amp; Assumptions'!$V$19,VLOOKUP(BA4-1,Amortization!$I$14:$L$374,4,FALSE),0)</f>
        <v>37871915.332146809</v>
      </c>
      <c r="BB51" s="12">
        <f>IF(BB4&gt;='Inputs &amp; Assumptions'!$V$19,VLOOKUP(BB4-1,Amortization!$I$14:$L$374,4,FALSE),0)</f>
        <v>37871915.332146809</v>
      </c>
      <c r="BC51" s="12">
        <f>IF(BC4&gt;='Inputs &amp; Assumptions'!$V$19,VLOOKUP(BC4-1,Amortization!$I$14:$L$374,4,FALSE),0)</f>
        <v>37871915.332146809</v>
      </c>
      <c r="BD51" s="12">
        <f>IF(BD4&gt;='Inputs &amp; Assumptions'!$V$19,VLOOKUP(BD4-1,Amortization!$I$14:$L$374,4,FALSE),0)</f>
        <v>37871915.332146809</v>
      </c>
      <c r="BE51" s="12">
        <f>BD51</f>
        <v>37871915.332146809</v>
      </c>
      <c r="BF51" s="12">
        <f>IF(BF4&gt;='Inputs &amp; Assumptions'!$V$19,VLOOKUP(BF4-1,Amortization!$I$14:$L$374,4,FALSE),0)</f>
        <v>37871915.332146809</v>
      </c>
      <c r="BG51" s="12">
        <f>IF(BG4&gt;='Inputs &amp; Assumptions'!$V$19,VLOOKUP(BG4-1,Amortization!$I$14:$L$374,4,FALSE),0)</f>
        <v>37871915.332146809</v>
      </c>
      <c r="BH51" s="12">
        <f>IF(BH4&gt;='Inputs &amp; Assumptions'!$V$19,VLOOKUP(BH4-1,Amortization!$I$14:$L$374,4,FALSE),0)</f>
        <v>37871915.332146809</v>
      </c>
      <c r="BI51" s="12">
        <f>IF(BI4&gt;='Inputs &amp; Assumptions'!$V$19,VLOOKUP(BI4-1,Amortization!$I$14:$L$374,4,FALSE),0)</f>
        <v>37871915.332146809</v>
      </c>
      <c r="BJ51" s="12">
        <f>IF(BJ4&gt;='Inputs &amp; Assumptions'!$V$19,VLOOKUP(BJ4-1,Amortization!$I$14:$L$374,4,FALSE),0)</f>
        <v>37871915.332146809</v>
      </c>
      <c r="BK51" s="12">
        <f>IF(BK4&gt;='Inputs &amp; Assumptions'!$V$19,VLOOKUP(BK4-1,Amortization!$I$14:$L$374,4,FALSE),0)</f>
        <v>37871915.332146809</v>
      </c>
      <c r="BL51" s="12">
        <f>IF(BL4&gt;='Inputs &amp; Assumptions'!$V$19,VLOOKUP(BL4-1,Amortization!$I$14:$L$374,4,FALSE),0)</f>
        <v>37871915.332146809</v>
      </c>
      <c r="BM51" s="12">
        <f>IF(BM4&gt;='Inputs &amp; Assumptions'!$V$19,VLOOKUP(BM4-1,Amortization!$I$14:$L$374,4,FALSE),0)</f>
        <v>37871915.332146809</v>
      </c>
      <c r="BN51" s="12">
        <f>IF(BN4&gt;='Inputs &amp; Assumptions'!$V$19,VLOOKUP(BN4-1,Amortization!$I$14:$L$374,4,FALSE),0)</f>
        <v>37871915.332146809</v>
      </c>
      <c r="BO51" s="12">
        <f>IF(BO4&gt;='Inputs &amp; Assumptions'!$V$19,VLOOKUP(BO4-1,Amortization!$I$14:$L$374,4,FALSE),0)</f>
        <v>37871915.332146809</v>
      </c>
      <c r="BP51" s="12">
        <f>IF(BP4&gt;='Inputs &amp; Assumptions'!$V$19,VLOOKUP(BP4-1,Amortization!$I$14:$L$374,4,FALSE),0)</f>
        <v>37871915.332146809</v>
      </c>
      <c r="BQ51" s="12">
        <f>IF(BQ4&gt;='Inputs &amp; Assumptions'!$V$19,VLOOKUP(BQ4-1,Amortization!$I$14:$L$374,4,FALSE),0)</f>
        <v>37871915.332146809</v>
      </c>
      <c r="BR51" s="12">
        <f>BQ51</f>
        <v>37871915.332146809</v>
      </c>
      <c r="BS51" s="12">
        <f>IF(BS4&gt;='Inputs &amp; Assumptions'!$V$19,VLOOKUP(BS4-1,Amortization!$I$14:$L$374,4,FALSE),0)</f>
        <v>37834213.641548254</v>
      </c>
      <c r="BT51" s="12">
        <f>IF(BT4&gt;='Inputs &amp; Assumptions'!$V$19,VLOOKUP(BT4-1,Amortization!$I$14:$L$374,4,FALSE),0)</f>
        <v>37796323.442496702</v>
      </c>
      <c r="BU51" s="12">
        <f>IF(BU4&gt;='Inputs &amp; Assumptions'!$V$19,VLOOKUP(BU4-1,Amortization!$I$14:$L$374,4,FALSE),0)</f>
        <v>37758243.792449892</v>
      </c>
      <c r="BV51" s="12">
        <f>IF(BV4&gt;='Inputs &amp; Assumptions'!$V$19,VLOOKUP(BV4-1,Amortization!$I$14:$L$374,4,FALSE),0)</f>
        <v>37719973.744152851</v>
      </c>
      <c r="BW51" s="12">
        <f>IF(BW4&gt;='Inputs &amp; Assumptions'!$V$19,VLOOKUP(BW4-1,Amortization!$I$14:$L$374,4,FALSE),0)</f>
        <v>37681512.345614322</v>
      </c>
      <c r="BX51" s="12">
        <f>IF(BX4&gt;='Inputs &amp; Assumptions'!$V$19,VLOOKUP(BX4-1,Amortization!$I$14:$L$374,4,FALSE),0)</f>
        <v>37642858.640083104</v>
      </c>
      <c r="BY51" s="12">
        <f>IF(BY4&gt;='Inputs &amp; Assumptions'!$V$19,VLOOKUP(BY4-1,Amortization!$I$14:$L$374,4,FALSE),0)</f>
        <v>37604011.66602423</v>
      </c>
      <c r="BZ51" s="12">
        <f>IF(BZ4&gt;='Inputs &amp; Assumptions'!$V$19,VLOOKUP(BZ4-1,Amortization!$I$14:$L$374,4,FALSE),0)</f>
        <v>37564970.457095057</v>
      </c>
      <c r="CA51" s="12">
        <f>IF(CA4&gt;='Inputs &amp; Assumptions'!$V$19,VLOOKUP(CA4-1,Amortization!$I$14:$L$374,4,FALSE),0)</f>
        <v>37525734.042121239</v>
      </c>
      <c r="CB51" s="12">
        <f>IF(CB4&gt;='Inputs &amp; Assumptions'!$V$19,VLOOKUP(CB4-1,Amortization!$I$14:$L$374,4,FALSE),0)</f>
        <v>37486301.445072554</v>
      </c>
      <c r="CC51" s="12">
        <f>IF(CC4&gt;='Inputs &amp; Assumptions'!$V$19,VLOOKUP(CC4-1,Amortization!$I$14:$L$374,4,FALSE),0)</f>
        <v>37446671.685038626</v>
      </c>
      <c r="CD51" s="12">
        <f>IF(CD4&gt;='Inputs &amp; Assumptions'!$V$19,VLOOKUP(CD4-1,Amortization!$I$14:$L$374,4,FALSE),0)</f>
        <v>37406843.776204526</v>
      </c>
      <c r="CE51" s="12">
        <f>CD51</f>
        <v>37406843.776204526</v>
      </c>
      <c r="CF51" s="12">
        <f>IF(CF4&gt;='Inputs &amp; Assumptions'!$V$19,VLOOKUP(CF4-1,Amortization!$I$14:$L$374,4,FALSE),0)</f>
        <v>37366816.72782626</v>
      </c>
      <c r="CG51" s="12">
        <f>IF(CG4&gt;='Inputs &amp; Assumptions'!$V$19,VLOOKUP(CG4-1,Amortization!$I$14:$L$374,4,FALSE),0)</f>
        <v>37326589.544206098</v>
      </c>
      <c r="CH51" s="12">
        <f>IF(CH4&gt;='Inputs &amp; Assumptions'!$V$19,VLOOKUP(CH4-1,Amortization!$I$14:$L$374,4,FALSE),0)</f>
        <v>37286161.22466784</v>
      </c>
      <c r="CI51" s="12">
        <f>IF(CI4&gt;='Inputs &amp; Assumptions'!$V$19,VLOOKUP(CI4-1,Amortization!$I$14:$L$374,4,FALSE),0)</f>
        <v>37245530.763531886</v>
      </c>
      <c r="CJ51" s="12">
        <f>IF(CJ4&gt;='Inputs &amp; Assumptions'!$V$19,VLOOKUP(CJ4-1,Amortization!$I$14:$L$374,4,FALSE),0)</f>
        <v>37204697.150090255</v>
      </c>
      <c r="CK51" s="12">
        <f>IF(CK4&gt;='Inputs &amp; Assumptions'!$V$19,VLOOKUP(CK4-1,Amortization!$I$14:$L$374,4,FALSE),0)</f>
        <v>37163659.368581414</v>
      </c>
      <c r="CL51" s="12">
        <f>IF(CL4&gt;='Inputs &amp; Assumptions'!$V$19,VLOOKUP(CL4-1,Amortization!$I$14:$L$374,4,FALSE),0)</f>
        <v>37122416.398165032</v>
      </c>
      <c r="CM51" s="12">
        <f>IF(CM4&gt;='Inputs &amp; Assumptions'!$V$19,VLOOKUP(CM4-1,Amortization!$I$14:$L$374,4,FALSE),0)</f>
        <v>37080967.212896563</v>
      </c>
      <c r="CN51" s="12">
        <f>IF(CN4&gt;='Inputs &amp; Assumptions'!$V$19,VLOOKUP(CN4-1,Amortization!$I$14:$L$374,4,FALSE),0)</f>
        <v>37039310.781701751</v>
      </c>
      <c r="CO51" s="12">
        <f>IF(CO4&gt;='Inputs &amp; Assumptions'!$V$19,VLOOKUP(CO4-1,Amortization!$I$14:$L$374,4,FALSE),0)</f>
        <v>36997446.068350971</v>
      </c>
      <c r="CP51" s="12">
        <f>IF(CP4&gt;='Inputs &amp; Assumptions'!$V$19,VLOOKUP(CP4-1,Amortization!$I$14:$L$374,4,FALSE),0)</f>
        <v>36955372.031433433</v>
      </c>
      <c r="CQ51" s="12">
        <f>IF(CQ4&gt;='Inputs &amp; Assumptions'!$V$19,VLOOKUP(CQ4-1,Amortization!$I$14:$L$374,4,FALSE),0)</f>
        <v>36913087.62433131</v>
      </c>
      <c r="CR51" s="12">
        <f>CQ51</f>
        <v>36913087.62433131</v>
      </c>
      <c r="CS51" s="12">
        <f>IF(CS4&gt;='Inputs &amp; Assumptions'!$V$19,VLOOKUP(CS4-1,Amortization!$I$14:$L$374,4,FALSE),0)</f>
        <v>36870591.795193672</v>
      </c>
      <c r="CT51" s="12">
        <f>IF(CT4&gt;='Inputs &amp; Assumptions'!$V$19,VLOOKUP(CT4-1,Amortization!$I$14:$L$374,4,FALSE),0)</f>
        <v>36827883.486910351</v>
      </c>
      <c r="CU51" s="12">
        <f>IF(CU4&gt;='Inputs &amp; Assumptions'!$V$19,VLOOKUP(CU4-1,Amortization!$I$14:$L$374,4,FALSE),0)</f>
        <v>36784961.637085609</v>
      </c>
      <c r="CV51" s="12">
        <f>IF(CV4&gt;='Inputs &amp; Assumptions'!$V$19,VLOOKUP(CV4-1,Amortization!$I$14:$L$374,4,FALSE),0)</f>
        <v>36741825.178011745</v>
      </c>
      <c r="CW51" s="12">
        <f>IF(CW4&gt;='Inputs &amp; Assumptions'!$V$19,VLOOKUP(CW4-1,Amortization!$I$14:$L$374,4,FALSE),0)</f>
        <v>36698473.036642514</v>
      </c>
      <c r="CX51" s="12">
        <f>IF(CX4&gt;='Inputs &amp; Assumptions'!$V$19,VLOOKUP(CX4-1,Amortization!$I$14:$L$374,4,FALSE),0)</f>
        <v>36654904.134566434</v>
      </c>
      <c r="CY51" s="12">
        <f>IF(CY4&gt;='Inputs &amp; Assumptions'!$V$19,VLOOKUP(CY4-1,Amortization!$I$14:$L$374,4,FALSE),0)</f>
        <v>36611117.387979977</v>
      </c>
      <c r="CZ51" s="12">
        <f>IF(CZ4&gt;='Inputs &amp; Assumptions'!$V$19,VLOOKUP(CZ4-1,Amortization!$I$14:$L$374,4,FALSE),0)</f>
        <v>36567111.707660586</v>
      </c>
      <c r="DA51" s="12">
        <f>IF(DA4&gt;='Inputs &amp; Assumptions'!$V$19,VLOOKUP(DA4-1,Amortization!$I$14:$L$374,4,FALSE),0)</f>
        <v>36522885.998939596</v>
      </c>
      <c r="DB51" s="12">
        <f>IF(DB4&gt;='Inputs &amp; Assumptions'!$V$19,VLOOKUP(DB4-1,Amortization!$I$14:$L$374,4,FALSE),0)</f>
        <v>36478439.161674999</v>
      </c>
      <c r="DC51" s="12">
        <f>IF(DC4&gt;='Inputs &amp; Assumptions'!$V$19,VLOOKUP(DC4-1,Amortization!$I$14:$L$374,4,FALSE),0)</f>
        <v>36433770.09022408</v>
      </c>
      <c r="DD51" s="12">
        <f>IF(DD4&gt;='Inputs &amp; Assumptions'!$V$19,VLOOKUP(DD4-1,Amortization!$I$14:$L$374,4,FALSE),0)</f>
        <v>36388877.673415907</v>
      </c>
      <c r="DE51" s="12">
        <f>DD51</f>
        <v>36388877.673415907</v>
      </c>
      <c r="DF51" s="12">
        <f>IF(DF4&gt;='Inputs &amp; Assumptions'!$V$19,VLOOKUP(DF4-1,Amortization!$I$14:$L$374,4,FALSE),0)</f>
        <v>36343760.794523694</v>
      </c>
      <c r="DG51" s="12">
        <f>IF(DG4&gt;='Inputs &amp; Assumptions'!$V$19,VLOOKUP(DG4-1,Amortization!$I$14:$L$374,4,FALSE),0)</f>
        <v>36298418.331237018</v>
      </c>
      <c r="DH51" s="12">
        <f>IF(DH4&gt;='Inputs &amp; Assumptions'!$V$19,VLOOKUP(DH4-1,Amortization!$I$14:$L$374,4,FALSE),0)</f>
        <v>36252849.155633911</v>
      </c>
      <c r="DI51" s="12">
        <f>IF(DI4&gt;='Inputs &amp; Assumptions'!$V$19,VLOOKUP(DI4-1,Amortization!$I$14:$L$374,4,FALSE),0)</f>
        <v>36207052.134152792</v>
      </c>
      <c r="DJ51" s="12">
        <f>IF(DJ4&gt;='Inputs &amp; Assumptions'!$V$19,VLOOKUP(DJ4-1,Amortization!$I$14:$L$374,4,FALSE),0)</f>
        <v>36161026.127564266</v>
      </c>
      <c r="DK51" s="12">
        <f>IF(DK4&gt;='Inputs &amp; Assumptions'!$V$19,VLOOKUP(DK4-1,Amortization!$I$14:$L$374,4,FALSE),0)</f>
        <v>36114769.990942799</v>
      </c>
      <c r="DL51" s="12">
        <f>IF(DL4&gt;='Inputs &amp; Assumptions'!$V$19,VLOOKUP(DL4-1,Amortization!$I$14:$L$374,4,FALSE),0)</f>
        <v>36068282.573638223</v>
      </c>
      <c r="DM51" s="12">
        <f>IF(DM4&gt;='Inputs &amp; Assumptions'!$V$19,VLOOKUP(DM4-1,Amortization!$I$14:$L$374,4,FALSE),0)</f>
        <v>36021562.719247125</v>
      </c>
      <c r="DN51" s="12">
        <f>IF(DN4&gt;='Inputs &amp; Assumptions'!$V$19,VLOOKUP(DN4-1,Amortization!$I$14:$L$374,4,FALSE),0)</f>
        <v>35974609.265584067</v>
      </c>
      <c r="DO51" s="12">
        <f>IF(DO4&gt;='Inputs &amp; Assumptions'!$V$19,VLOOKUP(DO4-1,Amortization!$I$14:$L$374,4,FALSE),0)</f>
        <v>35927421.044652693</v>
      </c>
      <c r="DP51" s="12">
        <f>IF(DP4&gt;='Inputs &amp; Assumptions'!$V$19,VLOOKUP(DP4-1,Amortization!$I$14:$L$374,4,FALSE),0)</f>
        <v>35879996.882616661</v>
      </c>
      <c r="DQ51" s="12">
        <f>IF(DQ4&gt;='Inputs &amp; Assumptions'!$V$19,VLOOKUP(DQ4-1,Amortization!$I$14:$L$374,4,FALSE),0)</f>
        <v>35832335.599770457</v>
      </c>
      <c r="DR51" s="12">
        <f>DQ51</f>
        <v>35832335.599770457</v>
      </c>
      <c r="DS51" s="12">
        <f>IF(DS4&gt;='Inputs &amp; Assumptions'!$V$19,VLOOKUP(DS4-1,Amortization!$I$14:$L$374,4,FALSE),0)</f>
        <v>35784436.01051002</v>
      </c>
      <c r="DT51" s="12">
        <f>IF(DT4&gt;='Inputs &amp; Assumptions'!$V$19,VLOOKUP(DT4-1,Amortization!$I$14:$L$374,4,FALSE),0)</f>
        <v>35736296.923303276</v>
      </c>
      <c r="DU51" s="12">
        <f>IF(DU4&gt;='Inputs &amp; Assumptions'!$V$19,VLOOKUP(DU4-1,Amortization!$I$14:$L$374,4,FALSE),0)</f>
        <v>35687917.140660502</v>
      </c>
      <c r="DV51" s="12">
        <f>IF(DV4&gt;='Inputs &amp; Assumptions'!$V$19,VLOOKUP(DV4-1,Amortization!$I$14:$L$374,4,FALSE),0)</f>
        <v>35639295.459104516</v>
      </c>
      <c r="DW51" s="12">
        <f>IF(DW4&gt;='Inputs &amp; Assumptions'!$V$19,VLOOKUP(DW4-1,Amortization!$I$14:$L$374,4,FALSE),0)</f>
        <v>35590430.669140749</v>
      </c>
      <c r="DX51" s="12">
        <f>IF(DX4&gt;='Inputs &amp; Assumptions'!$V$19,VLOOKUP(DX4-1,Amortization!$I$14:$L$374,4,FALSE),0)</f>
        <v>35541321.55522716</v>
      </c>
      <c r="DY51" s="12">
        <f>IF(DY4&gt;='Inputs &amp; Assumptions'!$V$19,VLOOKUP(DY4-1,Amortization!$I$14:$L$374,4,FALSE),0)</f>
        <v>35491966.895744003</v>
      </c>
      <c r="DZ51" s="12">
        <f>IF(DZ4&gt;='Inputs &amp; Assumptions'!$V$19,VLOOKUP(DZ4-1,Amortization!$I$14:$L$374,4,FALSE),0)</f>
        <v>35442365.462963432</v>
      </c>
      <c r="EA51" s="12">
        <f>IF(EA4&gt;='Inputs &amp; Assumptions'!$V$19,VLOOKUP(EA4-1,Amortization!$I$14:$L$374,4,FALSE),0)</f>
        <v>35392516.023018956</v>
      </c>
      <c r="EB51" s="12">
        <f>IF(EB4&gt;='Inputs &amp; Assumptions'!$V$19,VLOOKUP(EB4-1,Amortization!$I$14:$L$374,4,FALSE),0)</f>
        <v>35342417.335874759</v>
      </c>
      <c r="EC51" s="12">
        <f>IF(EC4&gt;='Inputs &amp; Assumptions'!$V$19,VLOOKUP(EC4-1,Amortization!$I$14:$L$374,4,FALSE),0)</f>
        <v>35292068.155294843</v>
      </c>
      <c r="ED51" s="12">
        <f>IF(ED4&gt;='Inputs &amp; Assumptions'!$V$19,VLOOKUP(ED4-1,Amortization!$I$14:$L$374,4,FALSE),0)</f>
        <v>35241467.228812024</v>
      </c>
      <c r="EE51" s="242">
        <f>ED51</f>
        <v>35241467.228812024</v>
      </c>
      <c r="EF51" s="11"/>
      <c r="EG51" s="11"/>
      <c r="EH51" s="11"/>
      <c r="EI51" s="11"/>
    </row>
    <row r="52" spans="2:139">
      <c r="B52" s="187"/>
      <c r="C52" s="1056" t="s">
        <v>315</v>
      </c>
      <c r="D52" s="1056"/>
      <c r="E52" s="1056"/>
      <c r="F52" s="1106">
        <f>IF(F4='Inputs &amp; Assumptions'!$V$19,Amortization!$L$9,0)*'Inputs &amp; Assumptions'!$V$25</f>
        <v>0</v>
      </c>
      <c r="G52" s="1106">
        <f>IF(G4='Inputs &amp; Assumptions'!$V$19,Amortization!$L$9,0)*'Inputs &amp; Assumptions'!$V$25</f>
        <v>0</v>
      </c>
      <c r="H52" s="1106">
        <f>IF(H4='Inputs &amp; Assumptions'!$V$19,Amortization!$L$9,0)*'Inputs &amp; Assumptions'!$V$25</f>
        <v>0</v>
      </c>
      <c r="I52" s="1106">
        <f>IF(I4='Inputs &amp; Assumptions'!$V$19,Amortization!$L$9,0)*'Inputs &amp; Assumptions'!$V$25</f>
        <v>0</v>
      </c>
      <c r="J52" s="1106">
        <f>IF(J4='Inputs &amp; Assumptions'!$V$19,Amortization!$L$9,0)*'Inputs &amp; Assumptions'!$V$25</f>
        <v>0</v>
      </c>
      <c r="K52" s="1106">
        <f>IF(K4='Inputs &amp; Assumptions'!$V$19,Amortization!$L$9,0)*'Inputs &amp; Assumptions'!$V$25</f>
        <v>0</v>
      </c>
      <c r="L52" s="1106">
        <f>IF(L4='Inputs &amp; Assumptions'!$V$19,Amortization!$L$9,0)*'Inputs &amp; Assumptions'!$V$25</f>
        <v>0</v>
      </c>
      <c r="M52" s="1106">
        <f>IF(M4='Inputs &amp; Assumptions'!$V$19,Amortization!$L$9,0)*'Inputs &amp; Assumptions'!$V$25</f>
        <v>0</v>
      </c>
      <c r="N52" s="1106">
        <f>IF(N4='Inputs &amp; Assumptions'!$V$19,Amortization!$L$9,0)*'Inputs &amp; Assumptions'!$V$25</f>
        <v>0</v>
      </c>
      <c r="O52" s="1106">
        <f>IF(O4='Inputs &amp; Assumptions'!$V$19,Amortization!$L$9,0)*'Inputs &amp; Assumptions'!$V$25</f>
        <v>0</v>
      </c>
      <c r="P52" s="1106">
        <f>IF(P4='Inputs &amp; Assumptions'!$V$19,Amortization!$L$9,0)*'Inputs &amp; Assumptions'!$V$25</f>
        <v>0</v>
      </c>
      <c r="Q52" s="1106">
        <f>IF(Q4='Inputs &amp; Assumptions'!$V$19,Amortization!$L$9,0)*'Inputs &amp; Assumptions'!$V$25</f>
        <v>0</v>
      </c>
      <c r="R52" s="156">
        <f>SUM(F52:Q52)</f>
        <v>0</v>
      </c>
      <c r="S52" s="1106">
        <f>IF(S4='Inputs &amp; Assumptions'!$V$19,Amortization!$L$9,0)*'Inputs &amp; Assumptions'!$V$25</f>
        <v>0</v>
      </c>
      <c r="T52" s="1106">
        <f>IF(T4='Inputs &amp; Assumptions'!$V$19,Amortization!$L$9,0)*'Inputs &amp; Assumptions'!$V$25</f>
        <v>0</v>
      </c>
      <c r="U52" s="1106">
        <f>IF(U4='Inputs &amp; Assumptions'!$V$19,Amortization!$L$9,0)*'Inputs &amp; Assumptions'!$V$25</f>
        <v>0</v>
      </c>
      <c r="V52" s="1106">
        <f>IF(V4='Inputs &amp; Assumptions'!$V$19,Amortization!$L$9,0)*'Inputs &amp; Assumptions'!$V$25</f>
        <v>0</v>
      </c>
      <c r="W52" s="1106">
        <f>IF(W4='Inputs &amp; Assumptions'!$V$19,Amortization!$L$9,0)*'Inputs &amp; Assumptions'!$V$25</f>
        <v>0</v>
      </c>
      <c r="X52" s="1106">
        <f>IF(X4='Inputs &amp; Assumptions'!$V$19,Amortization!$L$9,0)*'Inputs &amp; Assumptions'!$V$25</f>
        <v>0</v>
      </c>
      <c r="Y52" s="1106">
        <f>IF(Y4='Inputs &amp; Assumptions'!$V$19,Amortization!$L$9,0)*'Inputs &amp; Assumptions'!$V$25</f>
        <v>0</v>
      </c>
      <c r="Z52" s="1106">
        <f>IF(Z4='Inputs &amp; Assumptions'!$V$19,Amortization!$L$9,0)*'Inputs &amp; Assumptions'!$V$25</f>
        <v>0</v>
      </c>
      <c r="AA52" s="1106">
        <f>IF(AA4='Inputs &amp; Assumptions'!$V$19,Amortization!$L$9,0)*'Inputs &amp; Assumptions'!$V$25</f>
        <v>0</v>
      </c>
      <c r="AB52" s="1106">
        <f>IF(AB4='Inputs &amp; Assumptions'!$V$19,Amortization!$L$9,0)*'Inputs &amp; Assumptions'!$V$25</f>
        <v>0</v>
      </c>
      <c r="AC52" s="1106">
        <f>IF(AC4='Inputs &amp; Assumptions'!$V$19,Amortization!$L$9,0)*'Inputs &amp; Assumptions'!$V$25</f>
        <v>0</v>
      </c>
      <c r="AD52" s="1106">
        <f>IF(AD4='Inputs &amp; Assumptions'!$V$19,Amortization!$L$9,0)*'Inputs &amp; Assumptions'!$V$25</f>
        <v>0</v>
      </c>
      <c r="AE52" s="156">
        <f>SUM(S52:AD52)</f>
        <v>0</v>
      </c>
      <c r="AF52" s="1106">
        <f>IF(AF4='Inputs &amp; Assumptions'!$V$19,Amortization!$L$9,0)*'Inputs &amp; Assumptions'!$V$25</f>
        <v>0</v>
      </c>
      <c r="AG52" s="1106">
        <f>IF(AG4='Inputs &amp; Assumptions'!$V$19,Amortization!$L$9,0)*'Inputs &amp; Assumptions'!$V$25</f>
        <v>0</v>
      </c>
      <c r="AH52" s="1106">
        <f>IF(AH4='Inputs &amp; Assumptions'!$V$19,Amortization!$L$9,0)*'Inputs &amp; Assumptions'!$V$25</f>
        <v>0</v>
      </c>
      <c r="AI52" s="1106">
        <f>IF(AI4='Inputs &amp; Assumptions'!$V$19,Amortization!$L$9,0)*'Inputs &amp; Assumptions'!$V$25</f>
        <v>0</v>
      </c>
      <c r="AJ52" s="1106">
        <f>IF(AJ4='Inputs &amp; Assumptions'!$V$19,Amortization!$L$9,0)*'Inputs &amp; Assumptions'!$V$25</f>
        <v>0</v>
      </c>
      <c r="AK52" s="1106">
        <f>IF(AK4='Inputs &amp; Assumptions'!$V$19,Amortization!$L$9,0)*'Inputs &amp; Assumptions'!$V$25</f>
        <v>0</v>
      </c>
      <c r="AL52" s="1106">
        <f>IF(AL4='Inputs &amp; Assumptions'!$V$19,Amortization!$L$9,0)*'Inputs &amp; Assumptions'!$V$25</f>
        <v>0</v>
      </c>
      <c r="AM52" s="1106">
        <f>IF(AM4='Inputs &amp; Assumptions'!$V$19,Amortization!$L$9,0)*'Inputs &amp; Assumptions'!$V$25</f>
        <v>0</v>
      </c>
      <c r="AN52" s="1106">
        <f>IF(AN4='Inputs &amp; Assumptions'!$V$19,Amortization!$L$9,0)*'Inputs &amp; Assumptions'!$V$25</f>
        <v>0</v>
      </c>
      <c r="AO52" s="1106">
        <f>IF(AO4='Inputs &amp; Assumptions'!$V$19,Amortization!$L$9,0)*'Inputs &amp; Assumptions'!$V$25</f>
        <v>0</v>
      </c>
      <c r="AP52" s="1106">
        <f>IF(AP4='Inputs &amp; Assumptions'!$V$19,Amortization!$L$9,0)*'Inputs &amp; Assumptions'!$V$25</f>
        <v>0</v>
      </c>
      <c r="AQ52" s="1106">
        <f>IF(AQ4='Inputs &amp; Assumptions'!$V$19,Amortization!$L$9,0)*'Inputs &amp; Assumptions'!$V$25</f>
        <v>159314.31645879123</v>
      </c>
      <c r="AR52" s="156">
        <f>SUM(AF52:AQ52)</f>
        <v>159314.31645879123</v>
      </c>
      <c r="AS52" s="1106">
        <f>IF(AS4='Inputs &amp; Assumptions'!$V$19,Amortization!$L$9,0)*'Inputs &amp; Assumptions'!$V$25</f>
        <v>0</v>
      </c>
      <c r="AT52" s="1106">
        <f>IF(AT4='Inputs &amp; Assumptions'!$V$19,Amortization!$L$9,0)*'Inputs &amp; Assumptions'!$V$25</f>
        <v>0</v>
      </c>
      <c r="AU52" s="1106">
        <f>IF(AU4='Inputs &amp; Assumptions'!$V$19,Amortization!$L$9,0)*'Inputs &amp; Assumptions'!$V$25</f>
        <v>0</v>
      </c>
      <c r="AV52" s="1106">
        <f>IF(AV4='Inputs &amp; Assumptions'!$V$19,Amortization!$L$9,0)*'Inputs &amp; Assumptions'!$V$25</f>
        <v>0</v>
      </c>
      <c r="AW52" s="1106">
        <f>IF(AW4='Inputs &amp; Assumptions'!$V$19,Amortization!$L$9,0)*'Inputs &amp; Assumptions'!$V$25</f>
        <v>0</v>
      </c>
      <c r="AX52" s="1106">
        <f>IF(AX4='Inputs &amp; Assumptions'!$V$19,Amortization!$L$9,0)*'Inputs &amp; Assumptions'!$V$25</f>
        <v>0</v>
      </c>
      <c r="AY52" s="1106">
        <f>IF(AY4='Inputs &amp; Assumptions'!$V$19,Amortization!$L$9,0)*'Inputs &amp; Assumptions'!$V$25</f>
        <v>0</v>
      </c>
      <c r="AZ52" s="1106">
        <f>IF(AZ4='Inputs &amp; Assumptions'!$V$19,Amortization!$L$9,0)*'Inputs &amp; Assumptions'!$V$25</f>
        <v>0</v>
      </c>
      <c r="BA52" s="1106">
        <f>IF(BA4='Inputs &amp; Assumptions'!$V$19,Amortization!$L$9,0)*'Inputs &amp; Assumptions'!$V$25</f>
        <v>0</v>
      </c>
      <c r="BB52" s="1106">
        <f>IF(BB4='Inputs &amp; Assumptions'!$V$19,Amortization!$L$9,0)*'Inputs &amp; Assumptions'!$V$25</f>
        <v>0</v>
      </c>
      <c r="BC52" s="1106">
        <f>IF(BC4='Inputs &amp; Assumptions'!$V$19,Amortization!$L$9,0)*'Inputs &amp; Assumptions'!$V$25</f>
        <v>0</v>
      </c>
      <c r="BD52" s="1106">
        <f>IF(BD4='Inputs &amp; Assumptions'!$V$19,Amortization!$L$9,0)*'Inputs &amp; Assumptions'!$V$25</f>
        <v>0</v>
      </c>
      <c r="BE52" s="156">
        <f>SUM(AS52:BD52)</f>
        <v>0</v>
      </c>
      <c r="BF52" s="1106">
        <f>IF(BF3='Inputs &amp; Assumptions'!$V$19,Amortization!$L$9,0)*'Inputs &amp; Assumptions'!$V$25</f>
        <v>0</v>
      </c>
      <c r="BG52" s="1106">
        <f>IF(BG3='Inputs &amp; Assumptions'!$V$19,Amortization!$L$9,0)*'Inputs &amp; Assumptions'!$V$25</f>
        <v>0</v>
      </c>
      <c r="BH52" s="1106">
        <f>IF(BH3='Inputs &amp; Assumptions'!$V$19,Amortization!$L$9,0)*'Inputs &amp; Assumptions'!$V$25</f>
        <v>0</v>
      </c>
      <c r="BI52" s="1106">
        <f>IF(BI3='Inputs &amp; Assumptions'!$V$19,Amortization!$L$9,0)*'Inputs &amp; Assumptions'!$V$25</f>
        <v>0</v>
      </c>
      <c r="BJ52" s="1106">
        <f>IF(BJ3='Inputs &amp; Assumptions'!$V$19,Amortization!$L$9,0)*'Inputs &amp; Assumptions'!$V$25</f>
        <v>0</v>
      </c>
      <c r="BK52" s="1106">
        <f>IF(BK3='Inputs &amp; Assumptions'!$V$19,Amortization!$L$9,0)*'Inputs &amp; Assumptions'!$V$25</f>
        <v>0</v>
      </c>
      <c r="BL52" s="1106">
        <f>IF(BL3='Inputs &amp; Assumptions'!$V$19,Amortization!$L$9,0)*'Inputs &amp; Assumptions'!$V$25</f>
        <v>0</v>
      </c>
      <c r="BM52" s="1106">
        <f>IF(BM3='Inputs &amp; Assumptions'!$V$19,Amortization!$L$9,0)*'Inputs &amp; Assumptions'!$V$25</f>
        <v>0</v>
      </c>
      <c r="BN52" s="1106">
        <f>IF(BN3='Inputs &amp; Assumptions'!$V$19,Amortization!$L$9,0)*'Inputs &amp; Assumptions'!$V$25</f>
        <v>0</v>
      </c>
      <c r="BO52" s="1106">
        <f>IF(BO3='Inputs &amp; Assumptions'!$V$19,Amortization!$L$9,0)*'Inputs &amp; Assumptions'!$V$25</f>
        <v>0</v>
      </c>
      <c r="BP52" s="1106">
        <f>IF(BP3='Inputs &amp; Assumptions'!$V$19,Amortization!$L$9,0)*'Inputs &amp; Assumptions'!$V$25</f>
        <v>0</v>
      </c>
      <c r="BQ52" s="1106">
        <f>IF(BQ3='Inputs &amp; Assumptions'!$V$19,Amortization!$L$9,0)*'Inputs &amp; Assumptions'!$V$25</f>
        <v>0</v>
      </c>
      <c r="BR52" s="156">
        <f>SUM(BF52:BQ52)</f>
        <v>0</v>
      </c>
      <c r="BS52" s="1106">
        <f>IF(BS4='Inputs &amp; Assumptions'!$V$19,Amortization!$L$9,0)*'Inputs &amp; Assumptions'!$V$25</f>
        <v>0</v>
      </c>
      <c r="BT52" s="1106">
        <f>IF(BT4='Inputs &amp; Assumptions'!$V$19,Amortization!$L$9,0)*'Inputs &amp; Assumptions'!$V$25</f>
        <v>0</v>
      </c>
      <c r="BU52" s="1106">
        <f>IF(BU4='Inputs &amp; Assumptions'!$V$19,Amortization!$L$9,0)*'Inputs &amp; Assumptions'!$V$25</f>
        <v>0</v>
      </c>
      <c r="BV52" s="1106">
        <f>IF(BV4='Inputs &amp; Assumptions'!$V$19,Amortization!$L$9,0)*'Inputs &amp; Assumptions'!$V$25</f>
        <v>0</v>
      </c>
      <c r="BW52" s="1106">
        <f>IF(BW4='Inputs &amp; Assumptions'!$V$19,Amortization!$L$9,0)*'Inputs &amp; Assumptions'!$V$25</f>
        <v>0</v>
      </c>
      <c r="BX52" s="1106">
        <f>IF(BX4='Inputs &amp; Assumptions'!$V$19,Amortization!$L$9,0)*'Inputs &amp; Assumptions'!$V$25</f>
        <v>0</v>
      </c>
      <c r="BY52" s="1106">
        <f>IF(BY4='Inputs &amp; Assumptions'!$V$19,Amortization!$L$9,0)*'Inputs &amp; Assumptions'!$V$25</f>
        <v>0</v>
      </c>
      <c r="BZ52" s="1106">
        <f>IF(BZ4='Inputs &amp; Assumptions'!$V$19,Amortization!$L$9,0)*'Inputs &amp; Assumptions'!$V$25</f>
        <v>0</v>
      </c>
      <c r="CA52" s="1106">
        <f>IF(CA4='Inputs &amp; Assumptions'!$V$19,Amortization!$L$9,0)*'Inputs &amp; Assumptions'!$V$25</f>
        <v>0</v>
      </c>
      <c r="CB52" s="1106">
        <f>IF(CB4='Inputs &amp; Assumptions'!$V$19,Amortization!$L$9,0)*'Inputs &amp; Assumptions'!$V$25</f>
        <v>0</v>
      </c>
      <c r="CC52" s="1106">
        <f>IF(CC4='Inputs &amp; Assumptions'!$V$19,Amortization!$L$9,0)*'Inputs &amp; Assumptions'!$V$25</f>
        <v>0</v>
      </c>
      <c r="CD52" s="1106">
        <f>IF(CD4='Inputs &amp; Assumptions'!$V$19,Amortization!$L$9,0)*'Inputs &amp; Assumptions'!$V$25</f>
        <v>0</v>
      </c>
      <c r="CE52" s="156">
        <f>SUM(BS52:CD52)</f>
        <v>0</v>
      </c>
      <c r="CF52" s="1106">
        <f>IF(CF4='Inputs &amp; Assumptions'!$V$19,Amortization!$L$9,0)*'Inputs &amp; Assumptions'!$V$25</f>
        <v>0</v>
      </c>
      <c r="CG52" s="1106">
        <f>IF(CG4='Inputs &amp; Assumptions'!$V$19,Amortization!$L$9,0)*'Inputs &amp; Assumptions'!$V$25</f>
        <v>0</v>
      </c>
      <c r="CH52" s="1106">
        <f>IF(CH4='Inputs &amp; Assumptions'!$V$19,Amortization!$L$9,0)*'Inputs &amp; Assumptions'!$V$25</f>
        <v>0</v>
      </c>
      <c r="CI52" s="1106">
        <f>IF(CI4='Inputs &amp; Assumptions'!$V$19,Amortization!$L$9,0)*'Inputs &amp; Assumptions'!$V$25</f>
        <v>0</v>
      </c>
      <c r="CJ52" s="1106">
        <f>IF(CJ4='Inputs &amp; Assumptions'!$V$19,Amortization!$L$9,0)*'Inputs &amp; Assumptions'!$V$25</f>
        <v>0</v>
      </c>
      <c r="CK52" s="1106">
        <f>IF(CK4='Inputs &amp; Assumptions'!$V$19,Amortization!$L$9,0)*'Inputs &amp; Assumptions'!$V$25</f>
        <v>0</v>
      </c>
      <c r="CL52" s="1106">
        <f>IF(CL4='Inputs &amp; Assumptions'!$V$19,Amortization!$L$9,0)*'Inputs &amp; Assumptions'!$V$25</f>
        <v>0</v>
      </c>
      <c r="CM52" s="1106">
        <f>IF(CM4='Inputs &amp; Assumptions'!$V$19,Amortization!$L$9,0)*'Inputs &amp; Assumptions'!$V$25</f>
        <v>0</v>
      </c>
      <c r="CN52" s="1106">
        <f>IF(CN4='Inputs &amp; Assumptions'!$V$19,Amortization!$L$9,0)*'Inputs &amp; Assumptions'!$V$25</f>
        <v>0</v>
      </c>
      <c r="CO52" s="1106">
        <f>IF(CO4='Inputs &amp; Assumptions'!$V$19,Amortization!$L$9,0)*'Inputs &amp; Assumptions'!$V$25</f>
        <v>0</v>
      </c>
      <c r="CP52" s="1106">
        <f>IF(CP4='Inputs &amp; Assumptions'!$V$19,Amortization!$L$9,0)*'Inputs &amp; Assumptions'!$V$25</f>
        <v>0</v>
      </c>
      <c r="CQ52" s="1106">
        <f>IF(CQ4='Inputs &amp; Assumptions'!$V$19,Amortization!$L$9,0)*'Inputs &amp; Assumptions'!$V$25</f>
        <v>0</v>
      </c>
      <c r="CR52" s="156">
        <f>SUM(CF52:CQ52)</f>
        <v>0</v>
      </c>
      <c r="CS52" s="1106">
        <f>IF(CS4='Inputs &amp; Assumptions'!$V$19,Amortization!$L$9,0)*'Inputs &amp; Assumptions'!$V$25</f>
        <v>0</v>
      </c>
      <c r="CT52" s="1106">
        <f>IF(CT4='Inputs &amp; Assumptions'!$V$19,Amortization!$L$9,0)*'Inputs &amp; Assumptions'!$V$25</f>
        <v>0</v>
      </c>
      <c r="CU52" s="1106">
        <f>IF(CU4='Inputs &amp; Assumptions'!$V$19,Amortization!$L$9,0)*'Inputs &amp; Assumptions'!$V$25</f>
        <v>0</v>
      </c>
      <c r="CV52" s="1106">
        <f>IF(CV4='Inputs &amp; Assumptions'!$V$19,Amortization!$L$9,0)*'Inputs &amp; Assumptions'!$V$25</f>
        <v>0</v>
      </c>
      <c r="CW52" s="1106">
        <f>IF(CW4='Inputs &amp; Assumptions'!$V$19,Amortization!$L$9,0)*'Inputs &amp; Assumptions'!$V$25</f>
        <v>0</v>
      </c>
      <c r="CX52" s="1106">
        <f>IF(CX4='Inputs &amp; Assumptions'!$V$19,Amortization!$L$9,0)*'Inputs &amp; Assumptions'!$V$25</f>
        <v>0</v>
      </c>
      <c r="CY52" s="1106">
        <f>IF(CY4='Inputs &amp; Assumptions'!$V$19,Amortization!$L$9,0)*'Inputs &amp; Assumptions'!$V$25</f>
        <v>0</v>
      </c>
      <c r="CZ52" s="1106">
        <f>IF(CZ4='Inputs &amp; Assumptions'!$V$19,Amortization!$L$9,0)*'Inputs &amp; Assumptions'!$V$25</f>
        <v>0</v>
      </c>
      <c r="DA52" s="1106">
        <f>IF(DA4='Inputs &amp; Assumptions'!$V$19,Amortization!$L$9,0)*'Inputs &amp; Assumptions'!$V$25</f>
        <v>0</v>
      </c>
      <c r="DB52" s="1106">
        <f>IF(DB4='Inputs &amp; Assumptions'!$V$19,Amortization!$L$9,0)*'Inputs &amp; Assumptions'!$V$25</f>
        <v>0</v>
      </c>
      <c r="DC52" s="1106">
        <f>IF(DC4='Inputs &amp; Assumptions'!$V$19,Amortization!$L$9,0)*'Inputs &amp; Assumptions'!$V$25</f>
        <v>0</v>
      </c>
      <c r="DD52" s="1106">
        <f>IF(DD4='Inputs &amp; Assumptions'!$V$19,Amortization!$L$9,0)*'Inputs &amp; Assumptions'!$V$25</f>
        <v>0</v>
      </c>
      <c r="DE52" s="156">
        <f>SUM(CS52:DD52)</f>
        <v>0</v>
      </c>
      <c r="DF52" s="1106">
        <f>IF(DF4='Inputs &amp; Assumptions'!$V$19,Amortization!$L$9,0)*'Inputs &amp; Assumptions'!$V$25</f>
        <v>0</v>
      </c>
      <c r="DG52" s="1106">
        <f>IF(DG4='Inputs &amp; Assumptions'!$V$19,Amortization!$L$9,0)*'Inputs &amp; Assumptions'!$V$25</f>
        <v>0</v>
      </c>
      <c r="DH52" s="1106">
        <f>IF(DH4='Inputs &amp; Assumptions'!$V$19,Amortization!$L$9,0)*'Inputs &amp; Assumptions'!$V$25</f>
        <v>0</v>
      </c>
      <c r="DI52" s="1106">
        <f>IF(DI4='Inputs &amp; Assumptions'!$V$19,Amortization!$L$9,0)*'Inputs &amp; Assumptions'!$V$25</f>
        <v>0</v>
      </c>
      <c r="DJ52" s="1106">
        <f>IF(DJ4='Inputs &amp; Assumptions'!$V$19,Amortization!$L$9,0)*'Inputs &amp; Assumptions'!$V$25</f>
        <v>0</v>
      </c>
      <c r="DK52" s="1106">
        <f>IF(DK4='Inputs &amp; Assumptions'!$V$19,Amortization!$L$9,0)*'Inputs &amp; Assumptions'!$V$25</f>
        <v>0</v>
      </c>
      <c r="DL52" s="1106">
        <f>IF(DL4='Inputs &amp; Assumptions'!$V$19,Amortization!$L$9,0)*'Inputs &amp; Assumptions'!$V$25</f>
        <v>0</v>
      </c>
      <c r="DM52" s="1106">
        <f>IF(DM4='Inputs &amp; Assumptions'!$V$19,Amortization!$L$9,0)*'Inputs &amp; Assumptions'!$V$25</f>
        <v>0</v>
      </c>
      <c r="DN52" s="1106">
        <f>IF(DN4='Inputs &amp; Assumptions'!$V$19,Amortization!$L$9,0)*'Inputs &amp; Assumptions'!$V$25</f>
        <v>0</v>
      </c>
      <c r="DO52" s="1106">
        <f>IF(DO4='Inputs &amp; Assumptions'!$V$19,Amortization!$L$9,0)*'Inputs &amp; Assumptions'!$V$25</f>
        <v>0</v>
      </c>
      <c r="DP52" s="1106">
        <f>IF(DP4='Inputs &amp; Assumptions'!$V$19,Amortization!$L$9,0)*'Inputs &amp; Assumptions'!$V$25</f>
        <v>0</v>
      </c>
      <c r="DQ52" s="1106">
        <f>IF(DQ4='Inputs &amp; Assumptions'!$V$19,Amortization!$L$9,0)*'Inputs &amp; Assumptions'!$V$25</f>
        <v>0</v>
      </c>
      <c r="DR52" s="156">
        <f>SUM(DF52:DQ52)</f>
        <v>0</v>
      </c>
      <c r="DS52" s="1106">
        <f>IF(DS4='Inputs &amp; Assumptions'!$V$19,Amortization!$L$9,0)*'Inputs &amp; Assumptions'!$V$25</f>
        <v>0</v>
      </c>
      <c r="DT52" s="1106">
        <f>IF(DT4='Inputs &amp; Assumptions'!$V$19,Amortization!$L$9,0)*'Inputs &amp; Assumptions'!$V$25</f>
        <v>0</v>
      </c>
      <c r="DU52" s="1106">
        <f>IF(DU4='Inputs &amp; Assumptions'!$V$19,Amortization!$L$9,0)*'Inputs &amp; Assumptions'!$V$25</f>
        <v>0</v>
      </c>
      <c r="DV52" s="1106">
        <f>IF(DV4='Inputs &amp; Assumptions'!$V$19,Amortization!$L$9,0)*'Inputs &amp; Assumptions'!$V$25</f>
        <v>0</v>
      </c>
      <c r="DW52" s="1106">
        <f>IF(DW4='Inputs &amp; Assumptions'!$V$19,Amortization!$L$9,0)*'Inputs &amp; Assumptions'!$V$25</f>
        <v>0</v>
      </c>
      <c r="DX52" s="1106">
        <f>IF(DX4='Inputs &amp; Assumptions'!$V$19,Amortization!$L$9,0)*'Inputs &amp; Assumptions'!$V$25</f>
        <v>0</v>
      </c>
      <c r="DY52" s="1106">
        <f>IF(DY4='Inputs &amp; Assumptions'!$V$19,Amortization!$L$9,0)*'Inputs &amp; Assumptions'!$V$25</f>
        <v>0</v>
      </c>
      <c r="DZ52" s="1106">
        <f>IF(DZ4='Inputs &amp; Assumptions'!$V$19,Amortization!$L$9,0)*'Inputs &amp; Assumptions'!$V$25</f>
        <v>0</v>
      </c>
      <c r="EA52" s="1106">
        <f>IF(EA4='Inputs &amp; Assumptions'!$V$19,Amortization!$L$9,0)*'Inputs &amp; Assumptions'!$V$25</f>
        <v>0</v>
      </c>
      <c r="EB52" s="1106">
        <f>IF(EB4='Inputs &amp; Assumptions'!$V$19,Amortization!$L$9,0)*'Inputs &amp; Assumptions'!$V$25</f>
        <v>0</v>
      </c>
      <c r="EC52" s="1106">
        <f>IF(EC4='Inputs &amp; Assumptions'!$V$19,Amortization!$L$9,0)*'Inputs &amp; Assumptions'!$V$25</f>
        <v>0</v>
      </c>
      <c r="ED52" s="1106">
        <f>IF(ED4='Inputs &amp; Assumptions'!$V$19,Amortization!$L$9,0)*'Inputs &amp; Assumptions'!$V$25</f>
        <v>0</v>
      </c>
      <c r="EE52" s="243">
        <f>SUM(DS52:ED52)</f>
        <v>0</v>
      </c>
      <c r="EF52" s="11"/>
      <c r="EG52" s="11"/>
      <c r="EH52" s="11"/>
      <c r="EI52" s="11"/>
    </row>
    <row r="53" spans="2:139">
      <c r="B53" s="161"/>
      <c r="C53" t="s">
        <v>316</v>
      </c>
      <c r="F53" s="12">
        <f>IF(F4='Inputs &amp; Assumptions'!$V$19,Amortization!$L$9,0)-F52</f>
        <v>0</v>
      </c>
      <c r="G53" s="12">
        <f>IF(G4='Inputs &amp; Assumptions'!$V$19,Amortization!$L$9,0)-G52</f>
        <v>0</v>
      </c>
      <c r="H53" s="12">
        <f>IF(H4='Inputs &amp; Assumptions'!$V$19,Amortization!$L$9,0)-H52</f>
        <v>0</v>
      </c>
      <c r="I53" s="12">
        <f>IF(I4='Inputs &amp; Assumptions'!$V$19,Amortization!$L$9,0)-I52</f>
        <v>0</v>
      </c>
      <c r="J53" s="12">
        <f>IF(J4='Inputs &amp; Assumptions'!$V$19,Amortization!$L$9,0)-J52</f>
        <v>0</v>
      </c>
      <c r="K53" s="12">
        <f>IF(K4='Inputs &amp; Assumptions'!$V$19,Amortization!$L$9,0)-K52</f>
        <v>0</v>
      </c>
      <c r="L53" s="12">
        <f>IF(L4='Inputs &amp; Assumptions'!$V$19,Amortization!$L$9,0)-L52</f>
        <v>0</v>
      </c>
      <c r="M53" s="12">
        <f>IF(M4='Inputs &amp; Assumptions'!$V$19,Amortization!$L$9,0)-M52</f>
        <v>0</v>
      </c>
      <c r="N53" s="12">
        <f>IF(N4='Inputs &amp; Assumptions'!$V$19,Amortization!$L$9,0)-N52</f>
        <v>0</v>
      </c>
      <c r="O53" s="12">
        <f>IF(O4='Inputs &amp; Assumptions'!$V$19,Amortization!$L$9,0)-O52</f>
        <v>0</v>
      </c>
      <c r="P53" s="12">
        <f>IF(P4='Inputs &amp; Assumptions'!$V$19,Amortization!$L$9,0)-P52</f>
        <v>0</v>
      </c>
      <c r="Q53" s="12">
        <f>IF(Q4='Inputs &amp; Assumptions'!$V$19,Amortization!$L$9,0)-Q52</f>
        <v>0</v>
      </c>
      <c r="R53" s="12">
        <f>SUM(F53:Q53)</f>
        <v>0</v>
      </c>
      <c r="S53" s="12">
        <f>IF(S4='Inputs &amp; Assumptions'!$V$19,Amortization!$L$9,0)-S52</f>
        <v>0</v>
      </c>
      <c r="T53" s="12">
        <f>IF(T4='Inputs &amp; Assumptions'!$V$19,Amortization!$L$9,0)-T52</f>
        <v>0</v>
      </c>
      <c r="U53" s="12">
        <f>IF(U4='Inputs &amp; Assumptions'!$V$19,Amortization!$L$9,0)-U52</f>
        <v>0</v>
      </c>
      <c r="V53" s="12">
        <f>IF(V4='Inputs &amp; Assumptions'!$V$19,Amortization!$L$9,0)-V52</f>
        <v>0</v>
      </c>
      <c r="W53" s="12">
        <f>IF(W4='Inputs &amp; Assumptions'!$V$19,Amortization!$L$9,0)-W52</f>
        <v>0</v>
      </c>
      <c r="X53" s="12">
        <f>IF(X4='Inputs &amp; Assumptions'!$V$19,Amortization!$L$9,0)-X52</f>
        <v>0</v>
      </c>
      <c r="Y53" s="12">
        <f>IF(Y4='Inputs &amp; Assumptions'!$V$19,Amortization!$L$9,0)-Y52</f>
        <v>0</v>
      </c>
      <c r="Z53" s="12">
        <f>IF(Z4='Inputs &amp; Assumptions'!$V$19,Amortization!$L$9,0)-Z52</f>
        <v>0</v>
      </c>
      <c r="AA53" s="12">
        <f>IF(AA4='Inputs &amp; Assumptions'!$V$19,Amortization!$L$9,0)-AA52</f>
        <v>0</v>
      </c>
      <c r="AB53" s="12">
        <f>IF(AB4='Inputs &amp; Assumptions'!$V$19,Amortization!$L$9,0)-AB52</f>
        <v>0</v>
      </c>
      <c r="AC53" s="12">
        <f>IF(AC4='Inputs &amp; Assumptions'!$V$19,Amortization!$L$9,0)-AC52</f>
        <v>0</v>
      </c>
      <c r="AD53" s="12">
        <f>IF(AD4='Inputs &amp; Assumptions'!$V$19,Amortization!$L$9,0)-AD52</f>
        <v>0</v>
      </c>
      <c r="AE53" s="12">
        <f>SUM(S53:AD53)</f>
        <v>0</v>
      </c>
      <c r="AF53" s="12">
        <f>IF(AF4='Inputs &amp; Assumptions'!$V$19,Amortization!$L$9,0)-AF52</f>
        <v>0</v>
      </c>
      <c r="AG53" s="12">
        <f>IF(AG4='Inputs &amp; Assumptions'!$V$19,Amortization!$L$9,0)-AG52</f>
        <v>0</v>
      </c>
      <c r="AH53" s="12">
        <f>IF(AH4='Inputs &amp; Assumptions'!$V$19,Amortization!$L$9,0)-AH52</f>
        <v>0</v>
      </c>
      <c r="AI53" s="12">
        <f>IF(AI4='Inputs &amp; Assumptions'!$V$19,Amortization!$L$9,0)-AI52</f>
        <v>0</v>
      </c>
      <c r="AJ53" s="12">
        <f>IF(AJ4='Inputs &amp; Assumptions'!$V$19,Amortization!$L$9,0)-AJ52</f>
        <v>0</v>
      </c>
      <c r="AK53" s="12">
        <f>IF(AK4='Inputs &amp; Assumptions'!$V$19,Amortization!$L$9,0)-AK52</f>
        <v>0</v>
      </c>
      <c r="AL53" s="12">
        <f>IF(AL4='Inputs &amp; Assumptions'!$V$19,Amortization!$L$9,0)-AL52</f>
        <v>0</v>
      </c>
      <c r="AM53" s="12">
        <f>IF(AM4='Inputs &amp; Assumptions'!$V$19,Amortization!$L$9,0)-AM52</f>
        <v>0</v>
      </c>
      <c r="AN53" s="12">
        <f>IF(AN4='Inputs &amp; Assumptions'!$V$19,Amortization!$L$9,0)-AN52</f>
        <v>0</v>
      </c>
      <c r="AO53" s="12">
        <f>IF(AO4='Inputs &amp; Assumptions'!$V$19,Amortization!$L$9,0)-AO52</f>
        <v>0</v>
      </c>
      <c r="AP53" s="12">
        <f>IF(AP4='Inputs &amp; Assumptions'!$V$19,Amortization!$L$9,0)-AP52</f>
        <v>0</v>
      </c>
      <c r="AQ53" s="12">
        <f>IF(AQ4='Inputs &amp; Assumptions'!$V$19,Amortization!$L$9,0)-AQ52</f>
        <v>15772117.329420332</v>
      </c>
      <c r="AR53" s="12">
        <f>SUM(AF53:AQ53)</f>
        <v>15772117.329420332</v>
      </c>
      <c r="AS53" s="12">
        <f>IF(AS4='Inputs &amp; Assumptions'!$V$19,Amortization!$L$9,0)-AS52</f>
        <v>0</v>
      </c>
      <c r="AT53" s="12">
        <f>IF(AT4='Inputs &amp; Assumptions'!$V$19,Amortization!$L$9,0)-AT52</f>
        <v>0</v>
      </c>
      <c r="AU53" s="12">
        <f>IF(AU4='Inputs &amp; Assumptions'!$V$19,Amortization!$L$9,0)-AU52</f>
        <v>0</v>
      </c>
      <c r="AV53" s="12">
        <f>IF(AV4='Inputs &amp; Assumptions'!$V$19,Amortization!$L$9,0)-AV52</f>
        <v>0</v>
      </c>
      <c r="AW53" s="12">
        <f>IF(AW4='Inputs &amp; Assumptions'!$V$19,Amortization!$L$9,0)-AW52</f>
        <v>0</v>
      </c>
      <c r="AX53" s="12">
        <f>IF(AX4='Inputs &amp; Assumptions'!$V$19,Amortization!$L$9,0)-AX52</f>
        <v>0</v>
      </c>
      <c r="AY53" s="12">
        <f>IF(AY4='Inputs &amp; Assumptions'!$V$19,Amortization!$L$9,0)-AY52</f>
        <v>0</v>
      </c>
      <c r="AZ53" s="12">
        <f>IF(AZ4='Inputs &amp; Assumptions'!$V$19,Amortization!$L$9,0)-AZ52</f>
        <v>0</v>
      </c>
      <c r="BA53" s="12">
        <f>IF(BA4='Inputs &amp; Assumptions'!$V$19,Amortization!$L$9,0)-BA52</f>
        <v>0</v>
      </c>
      <c r="BB53" s="12">
        <f>IF(BB4='Inputs &amp; Assumptions'!$V$19,Amortization!$L$9,0)-BB52</f>
        <v>0</v>
      </c>
      <c r="BC53" s="12">
        <f>IF(BC4='Inputs &amp; Assumptions'!$V$19,Amortization!$L$9,0)-BC52</f>
        <v>0</v>
      </c>
      <c r="BD53" s="12">
        <f>IF(BD4='Inputs &amp; Assumptions'!$V$19,Amortization!$L$9,0)-BD52</f>
        <v>0</v>
      </c>
      <c r="BE53" s="12">
        <f>SUM(AS53:BD53)</f>
        <v>0</v>
      </c>
      <c r="BF53" s="12">
        <f>IF(BF4='Inputs &amp; Assumptions'!$V$19,Amortization!$L$9,0)</f>
        <v>0</v>
      </c>
      <c r="BG53" s="12">
        <f>IF(BG4='Inputs &amp; Assumptions'!$V$19,Amortization!$L$9,0)</f>
        <v>0</v>
      </c>
      <c r="BH53" s="12">
        <f>IF(BH4='Inputs &amp; Assumptions'!$V$19,Amortization!$L$9,0)</f>
        <v>0</v>
      </c>
      <c r="BI53" s="12">
        <f>IF(BI4='Inputs &amp; Assumptions'!$V$19,Amortization!$L$9,0)</f>
        <v>0</v>
      </c>
      <c r="BJ53" s="12">
        <f>IF(BJ4='Inputs &amp; Assumptions'!$V$19,Amortization!$L$9,0)</f>
        <v>0</v>
      </c>
      <c r="BK53" s="12">
        <f>IF(BK4='Inputs &amp; Assumptions'!$V$19,Amortization!$L$9,0)</f>
        <v>0</v>
      </c>
      <c r="BL53" s="12">
        <f>IF(BL4='Inputs &amp; Assumptions'!$V$19,Amortization!$L$9,0)</f>
        <v>0</v>
      </c>
      <c r="BM53" s="12">
        <f>IF(BM4='Inputs &amp; Assumptions'!$V$19,Amortization!$L$9,0)</f>
        <v>0</v>
      </c>
      <c r="BN53" s="12">
        <f>IF(BN4='Inputs &amp; Assumptions'!$V$19,Amortization!$L$9,0)</f>
        <v>0</v>
      </c>
      <c r="BO53" s="12">
        <f>IF(BO4='Inputs &amp; Assumptions'!$V$19,Amortization!$L$9,0)</f>
        <v>0</v>
      </c>
      <c r="BP53" s="12">
        <f>IF(BP4='Inputs &amp; Assumptions'!$V$19,Amortization!$L$9,0)</f>
        <v>0</v>
      </c>
      <c r="BQ53" s="12">
        <f>IF(BQ4='Inputs &amp; Assumptions'!$V$19,Amortization!$L$9,0)</f>
        <v>0</v>
      </c>
      <c r="BR53" s="12">
        <f>SUM(BF53:BQ53)</f>
        <v>0</v>
      </c>
      <c r="BS53" s="12">
        <f>IF(BS4='Inputs &amp; Assumptions'!$V$19,Amortization!$L$9,0)-BS52</f>
        <v>0</v>
      </c>
      <c r="BT53" s="12">
        <f>IF(BT4='Inputs &amp; Assumptions'!$V$19,Amortization!$L$9,0)-BT52</f>
        <v>0</v>
      </c>
      <c r="BU53" s="12">
        <f>IF(BU4='Inputs &amp; Assumptions'!$V$19,Amortization!$L$9,0)-BU52</f>
        <v>0</v>
      </c>
      <c r="BV53" s="12">
        <f>IF(BV4='Inputs &amp; Assumptions'!$V$19,Amortization!$L$9,0)-BV52</f>
        <v>0</v>
      </c>
      <c r="BW53" s="12">
        <f>IF(BW4='Inputs &amp; Assumptions'!$V$19,Amortization!$L$9,0)-BW52</f>
        <v>0</v>
      </c>
      <c r="BX53" s="12">
        <f>IF(BX4='Inputs &amp; Assumptions'!$V$19,Amortization!$L$9,0)-BX52</f>
        <v>0</v>
      </c>
      <c r="BY53" s="12">
        <f>IF(BY4='Inputs &amp; Assumptions'!$V$19,Amortization!$L$9,0)-BY52</f>
        <v>0</v>
      </c>
      <c r="BZ53" s="12">
        <f>IF(BZ4='Inputs &amp; Assumptions'!$V$19,Amortization!$L$9,0)-BZ52</f>
        <v>0</v>
      </c>
      <c r="CA53" s="12">
        <f>IF(CA4='Inputs &amp; Assumptions'!$V$19,Amortization!$L$9,0)-CA52</f>
        <v>0</v>
      </c>
      <c r="CB53" s="12">
        <f>IF(CB4='Inputs &amp; Assumptions'!$V$19,Amortization!$L$9,0)-CB52</f>
        <v>0</v>
      </c>
      <c r="CC53" s="12">
        <f>IF(CC4='Inputs &amp; Assumptions'!$V$19,Amortization!$L$9,0)-CC52</f>
        <v>0</v>
      </c>
      <c r="CD53" s="12">
        <f>IF(CD4='Inputs &amp; Assumptions'!$V$19,Amortization!$L$9,0)-CD52</f>
        <v>0</v>
      </c>
      <c r="CE53" s="12">
        <f>SUM(BS53:CD53)</f>
        <v>0</v>
      </c>
      <c r="CF53" s="12">
        <f>IF(CF4='Inputs &amp; Assumptions'!$V$19,Amortization!$L$9,0)-CF52</f>
        <v>0</v>
      </c>
      <c r="CG53" s="12">
        <f>IF(CG4='Inputs &amp; Assumptions'!$V$19,Amortization!$L$9,0)-CG52</f>
        <v>0</v>
      </c>
      <c r="CH53" s="12">
        <f>IF(CH4='Inputs &amp; Assumptions'!$V$19,Amortization!$L$9,0)-CH52</f>
        <v>0</v>
      </c>
      <c r="CI53" s="12">
        <f>IF(CI4='Inputs &amp; Assumptions'!$V$19,Amortization!$L$9,0)-CI52</f>
        <v>0</v>
      </c>
      <c r="CJ53" s="12">
        <f>IF(CJ4='Inputs &amp; Assumptions'!$V$19,Amortization!$L$9,0)-CJ52</f>
        <v>0</v>
      </c>
      <c r="CK53" s="12">
        <f>IF(CK4='Inputs &amp; Assumptions'!$V$19,Amortization!$L$9,0)-CK52</f>
        <v>0</v>
      </c>
      <c r="CL53" s="12">
        <f>IF(CL4='Inputs &amp; Assumptions'!$V$19,Amortization!$L$9,0)-CL52</f>
        <v>0</v>
      </c>
      <c r="CM53" s="12">
        <f>IF(CM4='Inputs &amp; Assumptions'!$V$19,Amortization!$L$9,0)-CM52</f>
        <v>0</v>
      </c>
      <c r="CN53" s="12">
        <f>IF(CN4='Inputs &amp; Assumptions'!$V$19,Amortization!$L$9,0)-CN52</f>
        <v>0</v>
      </c>
      <c r="CO53" s="12">
        <f>IF(CO4='Inputs &amp; Assumptions'!$V$19,Amortization!$L$9,0)-CO52</f>
        <v>0</v>
      </c>
      <c r="CP53" s="12">
        <f>IF(CP4='Inputs &amp; Assumptions'!$V$19,Amortization!$L$9,0)-CP52</f>
        <v>0</v>
      </c>
      <c r="CQ53" s="12">
        <f>IF(CQ4='Inputs &amp; Assumptions'!$V$19,Amortization!$L$9,0)-CQ52</f>
        <v>0</v>
      </c>
      <c r="CR53" s="12">
        <f>SUM(CF53:CQ53)</f>
        <v>0</v>
      </c>
      <c r="CS53" s="12">
        <f>IF(CS4='Inputs &amp; Assumptions'!$V$19,Amortization!$L$9,0)-CS52</f>
        <v>0</v>
      </c>
      <c r="CT53" s="12">
        <f>IF(CT4='Inputs &amp; Assumptions'!$V$19,Amortization!$L$9,0)-CT52</f>
        <v>0</v>
      </c>
      <c r="CU53" s="12">
        <f>IF(CU4='Inputs &amp; Assumptions'!$V$19,Amortization!$L$9,0)-CU52</f>
        <v>0</v>
      </c>
      <c r="CV53" s="12">
        <f>IF(CV4='Inputs &amp; Assumptions'!$V$19,Amortization!$L$9,0)-CV52</f>
        <v>0</v>
      </c>
      <c r="CW53" s="12">
        <f>IF(CW4='Inputs &amp; Assumptions'!$V$19,Amortization!$L$9,0)-CW52</f>
        <v>0</v>
      </c>
      <c r="CX53" s="12">
        <f>IF(CX4='Inputs &amp; Assumptions'!$V$19,Amortization!$L$9,0)-CX52</f>
        <v>0</v>
      </c>
      <c r="CY53" s="12">
        <f>IF(CY4='Inputs &amp; Assumptions'!$V$19,Amortization!$L$9,0)-CY52</f>
        <v>0</v>
      </c>
      <c r="CZ53" s="12">
        <f>IF(CZ4='Inputs &amp; Assumptions'!$V$19,Amortization!$L$9,0)-CZ52</f>
        <v>0</v>
      </c>
      <c r="DA53" s="12">
        <f>IF(DA4='Inputs &amp; Assumptions'!$V$19,Amortization!$L$9,0)-DA52</f>
        <v>0</v>
      </c>
      <c r="DB53" s="12">
        <f>IF(DB4='Inputs &amp; Assumptions'!$V$19,Amortization!$L$9,0)-DB52</f>
        <v>0</v>
      </c>
      <c r="DC53" s="12">
        <f>IF(DC4='Inputs &amp; Assumptions'!$V$19,Amortization!$L$9,0)-DC52</f>
        <v>0</v>
      </c>
      <c r="DD53" s="12">
        <f>IF(DD4='Inputs &amp; Assumptions'!$V$19,Amortization!$L$9,0)-DD52</f>
        <v>0</v>
      </c>
      <c r="DE53" s="12">
        <f>SUM(CS53:DD53)</f>
        <v>0</v>
      </c>
      <c r="DF53" s="12">
        <f>IF(DF4='Inputs &amp; Assumptions'!$V$19,Amortization!$L$9,0)-DF52</f>
        <v>0</v>
      </c>
      <c r="DG53" s="12">
        <f>IF(DG4='Inputs &amp; Assumptions'!$V$19,Amortization!$L$9,0)-DG52</f>
        <v>0</v>
      </c>
      <c r="DH53" s="12">
        <f>IF(DH4='Inputs &amp; Assumptions'!$V$19,Amortization!$L$9,0)-DH52</f>
        <v>0</v>
      </c>
      <c r="DI53" s="12">
        <f>IF(DI4='Inputs &amp; Assumptions'!$V$19,Amortization!$L$9,0)-DI52</f>
        <v>0</v>
      </c>
      <c r="DJ53" s="12">
        <f>IF(DJ4='Inputs &amp; Assumptions'!$V$19,Amortization!$L$9,0)-DJ52</f>
        <v>0</v>
      </c>
      <c r="DK53" s="12">
        <f>IF(DK4='Inputs &amp; Assumptions'!$V$19,Amortization!$L$9,0)-DK52</f>
        <v>0</v>
      </c>
      <c r="DL53" s="12">
        <f>IF(DL4='Inputs &amp; Assumptions'!$V$19,Amortization!$L$9,0)-DL52</f>
        <v>0</v>
      </c>
      <c r="DM53" s="12">
        <f>IF(DM4='Inputs &amp; Assumptions'!$V$19,Amortization!$L$9,0)-DM52</f>
        <v>0</v>
      </c>
      <c r="DN53" s="12">
        <f>IF(DN4='Inputs &amp; Assumptions'!$V$19,Amortization!$L$9,0)-DN52</f>
        <v>0</v>
      </c>
      <c r="DO53" s="12">
        <f>IF(DO4='Inputs &amp; Assumptions'!$V$19,Amortization!$L$9,0)-DO52</f>
        <v>0</v>
      </c>
      <c r="DP53" s="12">
        <f>IF(DP4='Inputs &amp; Assumptions'!$V$19,Amortization!$L$9,0)-DP52</f>
        <v>0</v>
      </c>
      <c r="DQ53" s="12">
        <f>IF(DQ4='Inputs &amp; Assumptions'!$V$19,Amortization!$L$9,0)-DQ52</f>
        <v>0</v>
      </c>
      <c r="DR53" s="12">
        <f>SUM(DF53:DQ53)</f>
        <v>0</v>
      </c>
      <c r="DS53" s="12">
        <f>IF(DS4='Inputs &amp; Assumptions'!$V$19,Amortization!$L$9,0)-DS52</f>
        <v>0</v>
      </c>
      <c r="DT53" s="12">
        <f>IF(DT4='Inputs &amp; Assumptions'!$V$19,Amortization!$L$9,0)-DT52</f>
        <v>0</v>
      </c>
      <c r="DU53" s="12">
        <f>IF(DU4='Inputs &amp; Assumptions'!$V$19,Amortization!$L$9,0)-DU52</f>
        <v>0</v>
      </c>
      <c r="DV53" s="12">
        <f>IF(DV4='Inputs &amp; Assumptions'!$V$19,Amortization!$L$9,0)-DV52</f>
        <v>0</v>
      </c>
      <c r="DW53" s="12">
        <f>IF(DW4='Inputs &amp; Assumptions'!$V$19,Amortization!$L$9,0)-DW52</f>
        <v>0</v>
      </c>
      <c r="DX53" s="12">
        <f>IF(DX4='Inputs &amp; Assumptions'!$V$19,Amortization!$L$9,0)-DX52</f>
        <v>0</v>
      </c>
      <c r="DY53" s="12">
        <f>IF(DY4='Inputs &amp; Assumptions'!$V$19,Amortization!$L$9,0)-DY52</f>
        <v>0</v>
      </c>
      <c r="DZ53" s="12">
        <f>IF(DZ4='Inputs &amp; Assumptions'!$V$19,Amortization!$L$9,0)-DZ52</f>
        <v>0</v>
      </c>
      <c r="EA53" s="12">
        <f>IF(EA4='Inputs &amp; Assumptions'!$V$19,Amortization!$L$9,0)-EA52</f>
        <v>0</v>
      </c>
      <c r="EB53" s="12">
        <f>IF(EB4='Inputs &amp; Assumptions'!$V$19,Amortization!$L$9,0)-EB52</f>
        <v>0</v>
      </c>
      <c r="EC53" s="12">
        <f>IF(EC4='Inputs &amp; Assumptions'!$V$19,Amortization!$L$9,0)-EC52</f>
        <v>0</v>
      </c>
      <c r="ED53" s="12">
        <f>IF(ED4='Inputs &amp; Assumptions'!$V$19,Amortization!$L$9,0)-ED52</f>
        <v>0</v>
      </c>
      <c r="EE53" s="242">
        <f>SUM(DS53:ED53)</f>
        <v>0</v>
      </c>
      <c r="EF53" s="11"/>
      <c r="EG53" s="11"/>
      <c r="EH53" s="11"/>
      <c r="EI53" s="11"/>
    </row>
    <row r="54" spans="2:139" ht="18.75">
      <c r="B54" s="766" t="s">
        <v>317</v>
      </c>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242"/>
      <c r="EF54" s="11"/>
      <c r="EG54" s="11"/>
      <c r="EH54" s="11"/>
      <c r="EI54" s="11"/>
    </row>
    <row r="55" spans="2:139">
      <c r="B55" s="768"/>
      <c r="C55" s="1107" t="s">
        <v>316</v>
      </c>
      <c r="D55" s="1107"/>
      <c r="E55" s="1107"/>
      <c r="F55" s="1108">
        <f>IF(F$4='Inputs &amp; Assumptions'!$W$68,'Pro Forma'!F63-'Pro Forma'!F$46-'Pro Forma'!F$51,0)-F56</f>
        <v>0</v>
      </c>
      <c r="G55" s="1108">
        <f>IF(G$4='Inputs &amp; Assumptions'!$W$68,'Pro Forma'!G63-'Pro Forma'!G$46-'Pro Forma'!G$51,0)-G56</f>
        <v>0</v>
      </c>
      <c r="H55" s="1108">
        <f>IF(H$4='Inputs &amp; Assumptions'!$W$68,'Pro Forma'!H63-'Pro Forma'!H$46-'Pro Forma'!H$51,0)-H56</f>
        <v>0</v>
      </c>
      <c r="I55" s="1108">
        <f>IF(I$4='Inputs &amp; Assumptions'!$W$68,'Pro Forma'!I63-'Pro Forma'!I$46-'Pro Forma'!I$51,0)-I56</f>
        <v>0</v>
      </c>
      <c r="J55" s="1108">
        <f>IF(J$4='Inputs &amp; Assumptions'!$W$68,'Pro Forma'!J63-'Pro Forma'!J$46-'Pro Forma'!J$51,0)-J56</f>
        <v>0</v>
      </c>
      <c r="K55" s="1108">
        <f>IF(K$4='Inputs &amp; Assumptions'!$W$68,'Pro Forma'!K63-'Pro Forma'!K$46-'Pro Forma'!K$51,0)-K56</f>
        <v>0</v>
      </c>
      <c r="L55" s="1108">
        <f>IF(L$4='Inputs &amp; Assumptions'!$W$68,'Pro Forma'!L63-'Pro Forma'!L$46-'Pro Forma'!L$51,0)-L56</f>
        <v>0</v>
      </c>
      <c r="M55" s="1108">
        <f>IF(M$4='Inputs &amp; Assumptions'!$W$68,'Pro Forma'!M63-'Pro Forma'!M$46-'Pro Forma'!M$51,0)-M56</f>
        <v>0</v>
      </c>
      <c r="N55" s="1108">
        <f>IF(N$4='Inputs &amp; Assumptions'!$W$68,'Pro Forma'!N63-'Pro Forma'!N$46-'Pro Forma'!N$51,0)-N56</f>
        <v>0</v>
      </c>
      <c r="O55" s="1108">
        <f>IF(O$4='Inputs &amp; Assumptions'!$W$68,'Pro Forma'!O63-'Pro Forma'!O$46-'Pro Forma'!O$51,0)-O56</f>
        <v>0</v>
      </c>
      <c r="P55" s="1108">
        <f>IF(P$4='Inputs &amp; Assumptions'!$W$68,'Pro Forma'!P63-'Pro Forma'!P$46-'Pro Forma'!P$51,0)-P56</f>
        <v>0</v>
      </c>
      <c r="Q55" s="1108">
        <f>IF(Q$4='Inputs &amp; Assumptions'!$W$68,'Pro Forma'!Q63-'Pro Forma'!Q$46-'Pro Forma'!Q$51,0)-Q56</f>
        <v>0</v>
      </c>
      <c r="R55" s="1108">
        <f>SUM(F55:Q55)</f>
        <v>0</v>
      </c>
      <c r="S55" s="1108">
        <f>IF(S$4='Inputs &amp; Assumptions'!$W$68,'Pro Forma'!S63-'Pro Forma'!S$46-'Pro Forma'!S$51,0)-S56</f>
        <v>0</v>
      </c>
      <c r="T55" s="1108">
        <f>IF(T$4='Inputs &amp; Assumptions'!$W$68,'Pro Forma'!T63-'Pro Forma'!T$46-'Pro Forma'!T$51,0)-T56</f>
        <v>0</v>
      </c>
      <c r="U55" s="1108">
        <f>IF(U$4='Inputs &amp; Assumptions'!$W$68,'Pro Forma'!U63-'Pro Forma'!U$46-'Pro Forma'!U$51,0)-U56</f>
        <v>0</v>
      </c>
      <c r="V55" s="1108">
        <f>IF(V$4='Inputs &amp; Assumptions'!$W$68,'Pro Forma'!V63-'Pro Forma'!V$46-'Pro Forma'!V$51,0)-V56</f>
        <v>0</v>
      </c>
      <c r="W55" s="1108">
        <f>IF(W$4='Inputs &amp; Assumptions'!$W$68,'Pro Forma'!W63-'Pro Forma'!W$46-'Pro Forma'!W$51,0)-W56</f>
        <v>0</v>
      </c>
      <c r="X55" s="1108">
        <f>IF(X$4='Inputs &amp; Assumptions'!$W$68,'Pro Forma'!X63-'Pro Forma'!X$46-'Pro Forma'!X$51,0)-X56</f>
        <v>0</v>
      </c>
      <c r="Y55" s="1108">
        <f>IF(Y$4='Inputs &amp; Assumptions'!$W$68,'Pro Forma'!Y63-'Pro Forma'!Y$46-'Pro Forma'!Y$51,0)-Y56</f>
        <v>0</v>
      </c>
      <c r="Z55" s="1108">
        <f>IF(Z$4='Inputs &amp; Assumptions'!$W$68,'Pro Forma'!Z63-'Pro Forma'!Z$46-'Pro Forma'!Z$51,0)-Z56</f>
        <v>0</v>
      </c>
      <c r="AA55" s="1108">
        <f>IF(AA$4='Inputs &amp; Assumptions'!$W$68,'Pro Forma'!AA63-'Pro Forma'!AA$46-'Pro Forma'!AA$51,0)-AA56</f>
        <v>0</v>
      </c>
      <c r="AB55" s="1108">
        <f>IF(AB$4='Inputs &amp; Assumptions'!$W$68,'Pro Forma'!AB63-'Pro Forma'!AB$46-'Pro Forma'!AB$51,0)-AB56</f>
        <v>0</v>
      </c>
      <c r="AC55" s="1108">
        <f>IF(AC$4='Inputs &amp; Assumptions'!$W$68,'Pro Forma'!AC63-'Pro Forma'!AC$46-'Pro Forma'!AC$51,0)-AC56</f>
        <v>0</v>
      </c>
      <c r="AD55" s="1108">
        <f>IF(AD$4='Inputs &amp; Assumptions'!$W$68,'Pro Forma'!AD63-'Pro Forma'!AD$46-'Pro Forma'!AD$51,0)-AD56</f>
        <v>0</v>
      </c>
      <c r="AE55" s="1108">
        <f>SUM(S55:AD55)</f>
        <v>0</v>
      </c>
      <c r="AF55" s="1108" t="s">
        <v>86</v>
      </c>
      <c r="AG55" s="1108">
        <f>IF(AG$4='Inputs &amp; Assumptions'!$W$68,'Pro Forma'!AG63-'Pro Forma'!AG$46-'Pro Forma'!AG$51,0)-AG56</f>
        <v>0</v>
      </c>
      <c r="AH55" s="1108">
        <f>IF(AH$4='Inputs &amp; Assumptions'!$W$68,'Pro Forma'!AH63-'Pro Forma'!AH$46-'Pro Forma'!AH$51,0)-AH56</f>
        <v>0</v>
      </c>
      <c r="AI55" s="1108">
        <f>IF(AI$4='Inputs &amp; Assumptions'!$W$68,'Pro Forma'!AI63-'Pro Forma'!AI$46-'Pro Forma'!AI$51,0)-AI56</f>
        <v>0</v>
      </c>
      <c r="AJ55" s="1108">
        <f>IF(AJ$4='Inputs &amp; Assumptions'!$W$68,'Pro Forma'!AJ63-'Pro Forma'!AJ$46-'Pro Forma'!AJ$51,0)-AJ56</f>
        <v>0</v>
      </c>
      <c r="AK55" s="1108">
        <f>IF(AK$4='Inputs &amp; Assumptions'!$W$68,'Pro Forma'!AK63-'Pro Forma'!AK$46-'Pro Forma'!AK$51,0)-AK56</f>
        <v>0</v>
      </c>
      <c r="AL55" s="1108">
        <f>IF(AL$4='Inputs &amp; Assumptions'!$W$68,'Pro Forma'!AL63-'Pro Forma'!AL$46-'Pro Forma'!AL$51,0)-AL56</f>
        <v>0</v>
      </c>
      <c r="AM55" s="1108">
        <f>IF(AM$4='Inputs &amp; Assumptions'!$W$68,'Pro Forma'!AM63-'Pro Forma'!AM$46-'Pro Forma'!AM$51,0)-AM56</f>
        <v>0</v>
      </c>
      <c r="AN55" s="1108">
        <f>IF(AN$4='Inputs &amp; Assumptions'!$W$68,'Pro Forma'!AN63-'Pro Forma'!AN$46-'Pro Forma'!AN$51,0)-AN56</f>
        <v>0</v>
      </c>
      <c r="AO55" s="1108">
        <f>IF(AO$4='Inputs &amp; Assumptions'!$W$68,'Pro Forma'!AO63-'Pro Forma'!AO$46-'Pro Forma'!AO$51,0)-AO56</f>
        <v>0</v>
      </c>
      <c r="AP55" s="1108">
        <f>IF(AP$4='Inputs &amp; Assumptions'!$W$68,'Pro Forma'!AP63-'Pro Forma'!AP$46-'Pro Forma'!AP$51,0)-AP56</f>
        <v>0</v>
      </c>
      <c r="AQ55" s="1108">
        <f>IF(AQ$4='Inputs &amp; Assumptions'!$W$68,'Pro Forma'!AQ63-'Pro Forma'!AQ$46-'Pro Forma'!AQ$51,0)-AQ56</f>
        <v>0</v>
      </c>
      <c r="AR55" s="1108">
        <f>SUM(AF55:AQ55)</f>
        <v>0</v>
      </c>
      <c r="AS55" s="1108">
        <f>IF(AS$4='Inputs &amp; Assumptions'!$W$68,'Pro Forma'!AS63-'Pro Forma'!AS$46-'Pro Forma'!AS$51,0)-AS56</f>
        <v>0</v>
      </c>
      <c r="AT55" s="1108">
        <f>IF(AT$4='Inputs &amp; Assumptions'!$W$68,'Pro Forma'!AT63-'Pro Forma'!AT$46-'Pro Forma'!AT$51,0)-AT56</f>
        <v>0</v>
      </c>
      <c r="AU55" s="1108">
        <f>IF(AU$4='Inputs &amp; Assumptions'!$W$68,'Pro Forma'!AU63-'Pro Forma'!AU$46-'Pro Forma'!AU$51,0)-AU56</f>
        <v>0</v>
      </c>
      <c r="AV55" s="1108">
        <f>IF(AV$4='Inputs &amp; Assumptions'!$W$68,'Pro Forma'!AV63-'Pro Forma'!AV$46-'Pro Forma'!AV$51,0)-AV56</f>
        <v>0</v>
      </c>
      <c r="AW55" s="1108">
        <f>IF(AW$4='Inputs &amp; Assumptions'!$W$68,'Pro Forma'!AW63-'Pro Forma'!AW$46-'Pro Forma'!AW$51,0)-AW56</f>
        <v>0</v>
      </c>
      <c r="AX55" s="1108">
        <f>IF(AX$4='Inputs &amp; Assumptions'!$W$68,'Pro Forma'!AX63-'Pro Forma'!AX$46-'Pro Forma'!AX$51,0)-AX56</f>
        <v>0</v>
      </c>
      <c r="AY55" s="1108">
        <f>IF(AY$4='Inputs &amp; Assumptions'!$W$68,'Pro Forma'!AY63-'Pro Forma'!AY$46-'Pro Forma'!AY$51,0)-AY56</f>
        <v>0</v>
      </c>
      <c r="AZ55" s="1108">
        <f>IF(AZ$4='Inputs &amp; Assumptions'!$W$68,'Pro Forma'!AZ63-'Pro Forma'!AZ$46-'Pro Forma'!AZ$51,0)-AZ56</f>
        <v>0</v>
      </c>
      <c r="BA55" s="1108">
        <f>IF(BA$4='Inputs &amp; Assumptions'!$W$68,'Pro Forma'!BA63-'Pro Forma'!BA$46-'Pro Forma'!BA$51,0)-BA56</f>
        <v>0</v>
      </c>
      <c r="BB55" s="1108">
        <f>IF(BB$4='Inputs &amp; Assumptions'!$W$68,'Pro Forma'!BB63-'Pro Forma'!BB$46-'Pro Forma'!BB$51,0)-BB56</f>
        <v>0</v>
      </c>
      <c r="BC55" s="1108">
        <f>IF(BC$4='Inputs &amp; Assumptions'!$W$68,'Pro Forma'!BC63-'Pro Forma'!BC$46-'Pro Forma'!BC$51,0)-BC56</f>
        <v>0</v>
      </c>
      <c r="BD55" s="1108">
        <f>IF(BD$4='Inputs &amp; Assumptions'!$W$68,'Pro Forma'!BD63-'Pro Forma'!BD$46-'Pro Forma'!BD$51,0)-BD56</f>
        <v>0</v>
      </c>
      <c r="BE55" s="1108">
        <f>SUM(AS55:BD55)</f>
        <v>0</v>
      </c>
      <c r="BF55" s="1108">
        <f>IF(BF$4='Inputs &amp; Assumptions'!$W$68,'Pro Forma'!BF63-'Pro Forma'!BF$46-'Pro Forma'!BF$51,0)-BF56</f>
        <v>0</v>
      </c>
      <c r="BG55" s="1108">
        <f>IF(BG$4='Inputs &amp; Assumptions'!$W$68,'Pro Forma'!BG63-'Pro Forma'!BG$46-'Pro Forma'!BG$51,0)-BG56</f>
        <v>0</v>
      </c>
      <c r="BH55" s="1108">
        <f>IF(BH$4='Inputs &amp; Assumptions'!$W$68,'Pro Forma'!BH63-'Pro Forma'!BH$46-'Pro Forma'!BH$51,0)-BH56</f>
        <v>0</v>
      </c>
      <c r="BI55" s="1108">
        <f>IF(BI$4='Inputs &amp; Assumptions'!$W$68,'Pro Forma'!BI63-'Pro Forma'!BI$46-'Pro Forma'!BI$51,0)-BI56</f>
        <v>0</v>
      </c>
      <c r="BJ55" s="1108">
        <f>IF(BJ$4='Inputs &amp; Assumptions'!$W$68,'Pro Forma'!BJ63-'Pro Forma'!BJ$46-'Pro Forma'!BJ$51,0)-BJ56</f>
        <v>0</v>
      </c>
      <c r="BK55" s="1108">
        <f>IF(BK$4='Inputs &amp; Assumptions'!$W$68,'Pro Forma'!BK63-'Pro Forma'!BK$46-'Pro Forma'!BK$51,0)-BK56</f>
        <v>0</v>
      </c>
      <c r="BL55" s="1108">
        <f>IF(BL$4='Inputs &amp; Assumptions'!$W$68,'Pro Forma'!BL63-'Pro Forma'!BL$46-'Pro Forma'!BL$51,0)-BL56</f>
        <v>0</v>
      </c>
      <c r="BM55" s="1108">
        <f>IF(BM$4='Inputs &amp; Assumptions'!$W$68,'Pro Forma'!BM63-'Pro Forma'!BM$46-'Pro Forma'!BM$51,0)-BM56</f>
        <v>0</v>
      </c>
      <c r="BN55" s="1108">
        <f>IF(BN$4='Inputs &amp; Assumptions'!$W$68,'Pro Forma'!BN63-'Pro Forma'!BN$46-'Pro Forma'!BN$51,0)-BN56</f>
        <v>0</v>
      </c>
      <c r="BO55" s="1108">
        <f>IF(BO$4='Inputs &amp; Assumptions'!$W$68,'Pro Forma'!BO63-'Pro Forma'!BO$46-'Pro Forma'!BO$51,0)-BO56</f>
        <v>0</v>
      </c>
      <c r="BP55" s="1108">
        <f>IF(BP$4='Inputs &amp; Assumptions'!$W$68,'Pro Forma'!BP63-'Pro Forma'!BP$46-'Pro Forma'!BP$51,0)-BP56</f>
        <v>0</v>
      </c>
      <c r="BQ55" s="1108">
        <f>IF(BQ$4='Inputs &amp; Assumptions'!$W$68,'Pro Forma'!BQ63-'Pro Forma'!BQ$46-'Pro Forma'!BQ$51,0)-BQ56</f>
        <v>31005196.055066705</v>
      </c>
      <c r="BR55" s="1108">
        <f>SUM(BF55:BQ55)</f>
        <v>31005196.055066705</v>
      </c>
      <c r="BS55" s="1108">
        <f>IF(BS$4='Inputs &amp; Assumptions'!$W$68,'Pro Forma'!BS63-'Pro Forma'!BS$46-'Pro Forma'!BS$51,0)-BS56</f>
        <v>0</v>
      </c>
      <c r="BT55" s="1108">
        <f>IF(BT$4='Inputs &amp; Assumptions'!$W$68,'Pro Forma'!BT63-'Pro Forma'!BT$46-'Pro Forma'!BT$51,0)-BT56</f>
        <v>0</v>
      </c>
      <c r="BU55" s="1108">
        <f>IF(BU$4='Inputs &amp; Assumptions'!$W$68,'Pro Forma'!BU63-'Pro Forma'!BU$46-'Pro Forma'!BU$51,0)-BU56</f>
        <v>0</v>
      </c>
      <c r="BV55" s="1108">
        <f>IF(BV$4='Inputs &amp; Assumptions'!$W$68,'Pro Forma'!BV63-'Pro Forma'!BV$46-'Pro Forma'!BV$51,0)-BV56</f>
        <v>0</v>
      </c>
      <c r="BW55" s="1108">
        <f>IF(BW$4='Inputs &amp; Assumptions'!$W$68,'Pro Forma'!BW63-'Pro Forma'!BW$46-'Pro Forma'!BW$51,0)-BW56</f>
        <v>0</v>
      </c>
      <c r="BX55" s="1108">
        <f>IF(BX$4='Inputs &amp; Assumptions'!$W$68,'Pro Forma'!BX63-'Pro Forma'!BX$46-'Pro Forma'!BX$51,0)-BX56</f>
        <v>0</v>
      </c>
      <c r="BY55" s="1108">
        <f>IF(BY$4='Inputs &amp; Assumptions'!$W$68,'Pro Forma'!BY63-'Pro Forma'!BY$46-'Pro Forma'!BY$51,0)-BY56</f>
        <v>0</v>
      </c>
      <c r="BZ55" s="1108">
        <f>IF(BZ$4='Inputs &amp; Assumptions'!$W$68,'Pro Forma'!BZ63-'Pro Forma'!BZ$46-'Pro Forma'!BZ$51,0)-BZ56</f>
        <v>0</v>
      </c>
      <c r="CA55" s="1108">
        <f>IF(CA$4='Inputs &amp; Assumptions'!$W$68,'Pro Forma'!CA63-'Pro Forma'!CA$46-'Pro Forma'!CA$51,0)-CA56</f>
        <v>0</v>
      </c>
      <c r="CB55" s="1108">
        <f>IF(CB$4='Inputs &amp; Assumptions'!$W$68,'Pro Forma'!CB63-'Pro Forma'!CB$46-'Pro Forma'!CB$51,0)-CB56</f>
        <v>0</v>
      </c>
      <c r="CC55" s="1108">
        <f>IF(CC$4='Inputs &amp; Assumptions'!$W$68,'Pro Forma'!CC63-'Pro Forma'!CC$46-'Pro Forma'!CC$51,0)-CC56</f>
        <v>0</v>
      </c>
      <c r="CD55" s="1108">
        <f>IF(CD$4='Inputs &amp; Assumptions'!$W$68,'Pro Forma'!CD63-'Pro Forma'!CD$46-'Pro Forma'!CD$51,0)-CD56</f>
        <v>0</v>
      </c>
      <c r="CE55" s="1108">
        <f>SUM(BS55:CD55)</f>
        <v>0</v>
      </c>
      <c r="CF55" s="1108">
        <f>IF(CF$4='Inputs &amp; Assumptions'!$W$68,'Pro Forma'!CF63-'Pro Forma'!CF$46-'Pro Forma'!CF$51,0)-CF56</f>
        <v>0</v>
      </c>
      <c r="CG55" s="1108">
        <f>IF(CG$4='Inputs &amp; Assumptions'!$W$68,'Pro Forma'!CG63-'Pro Forma'!CG$46-'Pro Forma'!CG$51,0)-CG56</f>
        <v>0</v>
      </c>
      <c r="CH55" s="1108">
        <f>IF(CH$4='Inputs &amp; Assumptions'!$W$68,'Pro Forma'!CH63-'Pro Forma'!CH$46-'Pro Forma'!CH$51,0)-CH56</f>
        <v>0</v>
      </c>
      <c r="CI55" s="1108">
        <f>IF(CI$4='Inputs &amp; Assumptions'!$W$68,'Pro Forma'!CI63-'Pro Forma'!CI$46-'Pro Forma'!CI$51,0)-CI56</f>
        <v>0</v>
      </c>
      <c r="CJ55" s="1108">
        <f>IF(CJ$4='Inputs &amp; Assumptions'!$W$68,'Pro Forma'!CJ63-'Pro Forma'!CJ$46-'Pro Forma'!CJ$51,0)-CJ56</f>
        <v>0</v>
      </c>
      <c r="CK55" s="1108">
        <f>IF(CK$4='Inputs &amp; Assumptions'!$W$68,'Pro Forma'!CK63-'Pro Forma'!CK$46-'Pro Forma'!CK$51,0)-CK56</f>
        <v>0</v>
      </c>
      <c r="CL55" s="1108">
        <f>IF(CL$4='Inputs &amp; Assumptions'!$W$68,'Pro Forma'!CL63-'Pro Forma'!CL$46-'Pro Forma'!CL$51,0)-CL56</f>
        <v>0</v>
      </c>
      <c r="CM55" s="1108">
        <f>IF(CM$4='Inputs &amp; Assumptions'!$W$68,'Pro Forma'!CM63-'Pro Forma'!CM$46-'Pro Forma'!CM$51,0)-CM56</f>
        <v>0</v>
      </c>
      <c r="CN55" s="1108">
        <f>IF(CN$4='Inputs &amp; Assumptions'!$W$68,'Pro Forma'!CN63-'Pro Forma'!CN$46-'Pro Forma'!CN$51,0)-CN56</f>
        <v>0</v>
      </c>
      <c r="CO55" s="1108">
        <f>IF(CO$4='Inputs &amp; Assumptions'!$W$68,'Pro Forma'!CO63-'Pro Forma'!CO$46-'Pro Forma'!CO$51,0)-CO56</f>
        <v>0</v>
      </c>
      <c r="CP55" s="1108">
        <f>IF(CP$4='Inputs &amp; Assumptions'!$W$68,'Pro Forma'!CP63-'Pro Forma'!CP$46-'Pro Forma'!CP$51,0)-CP56</f>
        <v>0</v>
      </c>
      <c r="CQ55" s="1108">
        <f>IF(CQ$4='Inputs &amp; Assumptions'!$W$68,'Pro Forma'!CQ63-'Pro Forma'!CQ$46-'Pro Forma'!CQ$51,0)-CQ56</f>
        <v>0</v>
      </c>
      <c r="CR55" s="1108">
        <f>SUM(CF55:CQ55)</f>
        <v>0</v>
      </c>
      <c r="CS55" s="1108">
        <f>IF(CS$4='Inputs &amp; Assumptions'!$W$68,'Pro Forma'!CS63-'Pro Forma'!CS$46-'Pro Forma'!CS$51,0)-CS56</f>
        <v>0</v>
      </c>
      <c r="CT55" s="1108">
        <f>IF(CT$4='Inputs &amp; Assumptions'!$W$68,'Pro Forma'!CT63-'Pro Forma'!CT$46-'Pro Forma'!CT$51,0)-CT56</f>
        <v>0</v>
      </c>
      <c r="CU55" s="1108">
        <f>IF(CU$4='Inputs &amp; Assumptions'!$W$68,'Pro Forma'!CU63-'Pro Forma'!CU$46-'Pro Forma'!CU$51,0)-CU56</f>
        <v>0</v>
      </c>
      <c r="CV55" s="1108">
        <f>IF(CV$4='Inputs &amp; Assumptions'!$W$68,'Pro Forma'!CV63-'Pro Forma'!CV$46-'Pro Forma'!CV$51,0)-CV56</f>
        <v>0</v>
      </c>
      <c r="CW55" s="1108">
        <f>IF(CW$4='Inputs &amp; Assumptions'!$W$68,'Pro Forma'!CW63-'Pro Forma'!CW$46-'Pro Forma'!CW$51,0)-CW56</f>
        <v>0</v>
      </c>
      <c r="CX55" s="1108">
        <f>IF(CX$4='Inputs &amp; Assumptions'!$W$68,'Pro Forma'!CX63-'Pro Forma'!CX$46-'Pro Forma'!CX$51,0)-CX56</f>
        <v>0</v>
      </c>
      <c r="CY55" s="1108">
        <f>IF(CY$4='Inputs &amp; Assumptions'!$W$68,'Pro Forma'!CY63-'Pro Forma'!CY$46-'Pro Forma'!CY$51,0)-CY56</f>
        <v>0</v>
      </c>
      <c r="CZ55" s="1108">
        <f>IF(CZ$4='Inputs &amp; Assumptions'!$W$68,'Pro Forma'!CZ63-'Pro Forma'!CZ$46-'Pro Forma'!CZ$51,0)-CZ56</f>
        <v>0</v>
      </c>
      <c r="DA55" s="1108">
        <f>IF(DA$4='Inputs &amp; Assumptions'!$W$68,'Pro Forma'!DA63-'Pro Forma'!DA$46-'Pro Forma'!DA$51,0)-DA56</f>
        <v>0</v>
      </c>
      <c r="DB55" s="1108">
        <f>IF(DB$4='Inputs &amp; Assumptions'!$W$68,'Pro Forma'!DB63-'Pro Forma'!DB$46-'Pro Forma'!DB$51,0)-DB56</f>
        <v>0</v>
      </c>
      <c r="DC55" s="1108">
        <f>IF(DC$4='Inputs &amp; Assumptions'!$W$68,'Pro Forma'!DC63-'Pro Forma'!DC$46-'Pro Forma'!DC$51,0)-DC56</f>
        <v>0</v>
      </c>
      <c r="DD55" s="1108">
        <f>IF(DD$4='Inputs &amp; Assumptions'!$W$68,'Pro Forma'!DD63-'Pro Forma'!DD$46-'Pro Forma'!DD$51,0)-DD56</f>
        <v>0</v>
      </c>
      <c r="DE55" s="1108">
        <f>SUM(CS55:DD55)</f>
        <v>0</v>
      </c>
      <c r="DF55" s="1108">
        <f>IF(DF$4='Inputs &amp; Assumptions'!$W$68,'Pro Forma'!DF63-'Pro Forma'!DF$46-'Pro Forma'!DF$51,0)-DF56</f>
        <v>0</v>
      </c>
      <c r="DG55" s="1108">
        <f>IF(DG$4='Inputs &amp; Assumptions'!$W$68,'Pro Forma'!DG63-'Pro Forma'!DG$46-'Pro Forma'!DG$51,0)-DG56</f>
        <v>0</v>
      </c>
      <c r="DH55" s="1108">
        <f>IF(DH$4='Inputs &amp; Assumptions'!$W$68,'Pro Forma'!DH63-'Pro Forma'!DH$46-'Pro Forma'!DH$51,0)-DH56</f>
        <v>0</v>
      </c>
      <c r="DI55" s="1108">
        <f>IF(DI$4='Inputs &amp; Assumptions'!$W$68,'Pro Forma'!DI63-'Pro Forma'!DI$46-'Pro Forma'!DI$51,0)-DI56</f>
        <v>0</v>
      </c>
      <c r="DJ55" s="1108">
        <f>IF(DJ$4='Inputs &amp; Assumptions'!$W$68,'Pro Forma'!DJ63-'Pro Forma'!DJ$46-'Pro Forma'!DJ$51,0)-DJ56</f>
        <v>0</v>
      </c>
      <c r="DK55" s="1108">
        <f>IF(DK$4='Inputs &amp; Assumptions'!$W$68,'Pro Forma'!DK63-'Pro Forma'!DK$46-'Pro Forma'!DK$51,0)-DK56</f>
        <v>0</v>
      </c>
      <c r="DL55" s="1108">
        <f>IF(DL$4='Inputs &amp; Assumptions'!$W$68,'Pro Forma'!DL63-'Pro Forma'!DL$46-'Pro Forma'!DL$51,0)-DL56</f>
        <v>0</v>
      </c>
      <c r="DM55" s="1108">
        <f>IF(DM$4='Inputs &amp; Assumptions'!$W$68,'Pro Forma'!DM63-'Pro Forma'!DM$46-'Pro Forma'!DM$51,0)-DM56</f>
        <v>0</v>
      </c>
      <c r="DN55" s="1108">
        <f>IF(DN$4='Inputs &amp; Assumptions'!$W$68,'Pro Forma'!DN63-'Pro Forma'!DN$46-'Pro Forma'!DN$51,0)-DN56</f>
        <v>0</v>
      </c>
      <c r="DO55" s="1108">
        <f>IF(DO$4='Inputs &amp; Assumptions'!$W$68,'Pro Forma'!DO63-'Pro Forma'!DO$46-'Pro Forma'!DO$51,0)-DO56</f>
        <v>0</v>
      </c>
      <c r="DP55" s="1108">
        <f>IF(DP$4='Inputs &amp; Assumptions'!$W$68,'Pro Forma'!DP63-'Pro Forma'!DP$46-'Pro Forma'!DP$51,0)-DP56</f>
        <v>0</v>
      </c>
      <c r="DQ55" s="1108">
        <f>IF(DQ$4='Inputs &amp; Assumptions'!$W$68,'Pro Forma'!DQ63-'Pro Forma'!DQ$46-'Pro Forma'!DQ$51,0)-DQ56</f>
        <v>0</v>
      </c>
      <c r="DR55" s="1108">
        <f>SUM(DF55:DQ55)</f>
        <v>0</v>
      </c>
      <c r="DS55" s="1108">
        <f>IF(DS$4='Inputs &amp; Assumptions'!$W$68,'Pro Forma'!DS63-'Pro Forma'!DS$46-'Pro Forma'!DS$51,0)-DS56</f>
        <v>0</v>
      </c>
      <c r="DT55" s="1108">
        <f>IF(DT$4='Inputs &amp; Assumptions'!$W$68,'Pro Forma'!DT63-'Pro Forma'!DT$46-'Pro Forma'!DT$51,0)-DT56</f>
        <v>0</v>
      </c>
      <c r="DU55" s="1108">
        <f>IF(DU$4='Inputs &amp; Assumptions'!$W$68,'Pro Forma'!DU63-'Pro Forma'!DU$46-'Pro Forma'!DU$51,0)-DU56</f>
        <v>0</v>
      </c>
      <c r="DV55" s="1108">
        <f>IF(DV$4='Inputs &amp; Assumptions'!$W$68,'Pro Forma'!DV63-'Pro Forma'!DV$46-'Pro Forma'!DV$51,0)-DV56</f>
        <v>0</v>
      </c>
      <c r="DW55" s="1108">
        <f>IF(DW$4='Inputs &amp; Assumptions'!$W$68,'Pro Forma'!DW63-'Pro Forma'!DW$46-'Pro Forma'!DW$51,0)-DW56</f>
        <v>0</v>
      </c>
      <c r="DX55" s="1108">
        <f>IF(DX$4='Inputs &amp; Assumptions'!$W$68,'Pro Forma'!DX63-'Pro Forma'!DX$46-'Pro Forma'!DX$51,0)-DX56</f>
        <v>0</v>
      </c>
      <c r="DY55" s="1108">
        <f>IF(DY$4='Inputs &amp; Assumptions'!$W$68,'Pro Forma'!DY63-'Pro Forma'!DY$46-'Pro Forma'!DY$51,0)-DY56</f>
        <v>0</v>
      </c>
      <c r="DZ55" s="1108">
        <f>IF(DZ$4='Inputs &amp; Assumptions'!$W$68,'Pro Forma'!DZ63-'Pro Forma'!DZ$46-'Pro Forma'!DZ$51,0)-DZ56</f>
        <v>0</v>
      </c>
      <c r="EA55" s="1108">
        <f>IF(EA$4='Inputs &amp; Assumptions'!$W$68,'Pro Forma'!EA63-'Pro Forma'!EA$46-'Pro Forma'!EA$51,0)-EA56</f>
        <v>0</v>
      </c>
      <c r="EB55" s="1108">
        <f>IF(EB$4='Inputs &amp; Assumptions'!$W$68,'Pro Forma'!EB63-'Pro Forma'!EB$46-'Pro Forma'!EB$51,0)-EB56</f>
        <v>0</v>
      </c>
      <c r="EC55" s="1108">
        <f>IF(EC$4='Inputs &amp; Assumptions'!$W$68,'Pro Forma'!EC63-'Pro Forma'!EC$46-'Pro Forma'!EC$51,0)-EC56</f>
        <v>0</v>
      </c>
      <c r="ED55" s="1108">
        <f>IF(ED$4='Inputs &amp; Assumptions'!$W$68,'Pro Forma'!ED63-'Pro Forma'!ED$46-'Pro Forma'!ED$51,0)-ED56</f>
        <v>0</v>
      </c>
      <c r="EE55" s="769">
        <f>SUM(DS55:ED55)</f>
        <v>0</v>
      </c>
      <c r="EF55" s="11"/>
      <c r="EG55" s="11"/>
      <c r="EH55" s="11"/>
      <c r="EI55" s="11"/>
    </row>
    <row r="56" spans="2:139">
      <c r="B56" s="770"/>
      <c r="C56" t="s">
        <v>318</v>
      </c>
      <c r="F56" s="12">
        <f>IF(F$4='Inputs &amp; Assumptions'!$W$68,'Pro Forma'!F63*'Inputs &amp; Assumptions'!$V$66+'Inputs &amp; Assumptions'!$V$67,0)</f>
        <v>0</v>
      </c>
      <c r="G56" s="12">
        <f>IF(G$4='Inputs &amp; Assumptions'!$W$68,'Pro Forma'!G63*'Inputs &amp; Assumptions'!$V$66+'Inputs &amp; Assumptions'!$V$67,0)</f>
        <v>0</v>
      </c>
      <c r="H56" s="12">
        <f>IF(H$4='Inputs &amp; Assumptions'!$W$68,'Pro Forma'!H63*'Inputs &amp; Assumptions'!$V$66+'Inputs &amp; Assumptions'!$V$67,0)</f>
        <v>0</v>
      </c>
      <c r="I56" s="12">
        <f>IF(I$4='Inputs &amp; Assumptions'!$W$68,'Pro Forma'!I63*'Inputs &amp; Assumptions'!$V$66+'Inputs &amp; Assumptions'!$V$67,0)</f>
        <v>0</v>
      </c>
      <c r="J56" s="12">
        <f>IF(J$4='Inputs &amp; Assumptions'!$W$68,'Pro Forma'!J63*'Inputs &amp; Assumptions'!$V$66+'Inputs &amp; Assumptions'!$V$67,0)</f>
        <v>0</v>
      </c>
      <c r="K56" s="12">
        <f>IF(K$4='Inputs &amp; Assumptions'!$W$68,'Pro Forma'!K63*'Inputs &amp; Assumptions'!$V$66+'Inputs &amp; Assumptions'!$V$67,0)</f>
        <v>0</v>
      </c>
      <c r="L56" s="12">
        <f>IF(L$4='Inputs &amp; Assumptions'!$W$68,'Pro Forma'!L63*'Inputs &amp; Assumptions'!$V$66+'Inputs &amp; Assumptions'!$V$67,0)</f>
        <v>0</v>
      </c>
      <c r="M56" s="12">
        <f>IF(M$4='Inputs &amp; Assumptions'!$W$68,'Pro Forma'!M63*'Inputs &amp; Assumptions'!$V$66+'Inputs &amp; Assumptions'!$V$67,0)</f>
        <v>0</v>
      </c>
      <c r="N56" s="12">
        <f>IF(N$4='Inputs &amp; Assumptions'!$W$68,'Pro Forma'!N63*'Inputs &amp; Assumptions'!$V$66+'Inputs &amp; Assumptions'!$V$67,0)</f>
        <v>0</v>
      </c>
      <c r="O56" s="12">
        <f>IF(O$4='Inputs &amp; Assumptions'!$W$68,'Pro Forma'!O63*'Inputs &amp; Assumptions'!$V$66+'Inputs &amp; Assumptions'!$V$67,0)</f>
        <v>0</v>
      </c>
      <c r="P56" s="12">
        <f>IF(P$4='Inputs &amp; Assumptions'!$W$68,'Pro Forma'!P63*'Inputs &amp; Assumptions'!$V$66+'Inputs &amp; Assumptions'!$V$67,0)</f>
        <v>0</v>
      </c>
      <c r="Q56" s="12">
        <f>IF(Q$4='Inputs &amp; Assumptions'!$W$68,'Pro Forma'!Q63*'Inputs &amp; Assumptions'!$V$66+'Inputs &amp; Assumptions'!$V$67,0)</f>
        <v>0</v>
      </c>
      <c r="R56" s="12">
        <f>SUM(F56:Q56)</f>
        <v>0</v>
      </c>
      <c r="S56" s="12">
        <f>IF(S$4='Inputs &amp; Assumptions'!$W$68,'Pro Forma'!S63*'Inputs &amp; Assumptions'!$V$66+'Inputs &amp; Assumptions'!$V$67,0)</f>
        <v>0</v>
      </c>
      <c r="T56" s="12">
        <f>IF(T$4='Inputs &amp; Assumptions'!$W$68,'Pro Forma'!T63*'Inputs &amp; Assumptions'!$V$66+'Inputs &amp; Assumptions'!$V$67,0)</f>
        <v>0</v>
      </c>
      <c r="U56" s="12">
        <f>IF(U$4='Inputs &amp; Assumptions'!$W$68,'Pro Forma'!U63*'Inputs &amp; Assumptions'!$V$66+'Inputs &amp; Assumptions'!$V$67,0)</f>
        <v>0</v>
      </c>
      <c r="V56" s="12">
        <f>IF(V$4='Inputs &amp; Assumptions'!$W$68,'Pro Forma'!V63*'Inputs &amp; Assumptions'!$V$66+'Inputs &amp; Assumptions'!$V$67,0)</f>
        <v>0</v>
      </c>
      <c r="W56" s="12">
        <f>IF(W$4='Inputs &amp; Assumptions'!$W$68,'Pro Forma'!W63*'Inputs &amp; Assumptions'!$V$66+'Inputs &amp; Assumptions'!$V$67,0)</f>
        <v>0</v>
      </c>
      <c r="X56" s="12">
        <f>IF(X$4='Inputs &amp; Assumptions'!$W$68,'Pro Forma'!X63*'Inputs &amp; Assumptions'!$V$66+'Inputs &amp; Assumptions'!$V$67,0)</f>
        <v>0</v>
      </c>
      <c r="Y56" s="12">
        <f>IF(Y$4='Inputs &amp; Assumptions'!$W$68,'Pro Forma'!Y63*'Inputs &amp; Assumptions'!$V$66+'Inputs &amp; Assumptions'!$V$67,0)</f>
        <v>0</v>
      </c>
      <c r="Z56" s="12">
        <f>IF(Z$4='Inputs &amp; Assumptions'!$W$68,'Pro Forma'!Z63*'Inputs &amp; Assumptions'!$V$66+'Inputs &amp; Assumptions'!$V$67,0)</f>
        <v>0</v>
      </c>
      <c r="AA56" s="12">
        <f>IF(AA$4='Inputs &amp; Assumptions'!$W$68,'Pro Forma'!AA63*'Inputs &amp; Assumptions'!$V$66+'Inputs &amp; Assumptions'!$V$67,0)</f>
        <v>0</v>
      </c>
      <c r="AB56" s="12">
        <f>IF(AB$4='Inputs &amp; Assumptions'!$W$68,'Pro Forma'!AB63*'Inputs &amp; Assumptions'!$V$66+'Inputs &amp; Assumptions'!$V$67,0)</f>
        <v>0</v>
      </c>
      <c r="AC56" s="12">
        <f>IF(AC$4='Inputs &amp; Assumptions'!$W$68,'Pro Forma'!AC63*'Inputs &amp; Assumptions'!$V$66+'Inputs &amp; Assumptions'!$V$67,0)</f>
        <v>0</v>
      </c>
      <c r="AD56" s="12">
        <f>IF(AD$4='Inputs &amp; Assumptions'!$W$68,'Pro Forma'!AD63*'Inputs &amp; Assumptions'!$V$66+'Inputs &amp; Assumptions'!$V$67,0)</f>
        <v>0</v>
      </c>
      <c r="AE56" s="12">
        <f>SUM(S56:AD56)</f>
        <v>0</v>
      </c>
      <c r="AF56" s="12">
        <f>IF(AF$4='Inputs &amp; Assumptions'!$W$68,'Pro Forma'!AF63*'Inputs &amp; Assumptions'!$V$66+'Inputs &amp; Assumptions'!$V$67,0)</f>
        <v>0</v>
      </c>
      <c r="AG56" s="12">
        <f>IF(AG$4='Inputs &amp; Assumptions'!$W$68,'Pro Forma'!AG63*'Inputs &amp; Assumptions'!$V$66+'Inputs &amp; Assumptions'!$V$67,0)</f>
        <v>0</v>
      </c>
      <c r="AH56" s="12">
        <f>IF(AH$4='Inputs &amp; Assumptions'!$W$68,'Pro Forma'!AH63*'Inputs &amp; Assumptions'!$V$66+'Inputs &amp; Assumptions'!$V$67,0)</f>
        <v>0</v>
      </c>
      <c r="AI56" s="12">
        <f>IF(AI$4='Inputs &amp; Assumptions'!$W$68,'Pro Forma'!AI63*'Inputs &amp; Assumptions'!$V$66+'Inputs &amp; Assumptions'!$V$67,0)</f>
        <v>0</v>
      </c>
      <c r="AJ56" s="12">
        <f>IF(AJ$4='Inputs &amp; Assumptions'!$W$68,'Pro Forma'!AJ63*'Inputs &amp; Assumptions'!$V$66+'Inputs &amp; Assumptions'!$V$67,0)</f>
        <v>0</v>
      </c>
      <c r="AK56" s="12">
        <f>IF(AK$4='Inputs &amp; Assumptions'!$W$68,'Pro Forma'!AK63*'Inputs &amp; Assumptions'!$V$66+'Inputs &amp; Assumptions'!$V$67,0)</f>
        <v>0</v>
      </c>
      <c r="AL56" s="12">
        <f>IF(AL$4='Inputs &amp; Assumptions'!$W$68,'Pro Forma'!AL63*'Inputs &amp; Assumptions'!$V$66+'Inputs &amp; Assumptions'!$V$67,0)</f>
        <v>0</v>
      </c>
      <c r="AM56" s="12">
        <f>IF(AM$4='Inputs &amp; Assumptions'!$W$68,'Pro Forma'!AM63*'Inputs &amp; Assumptions'!$V$66+'Inputs &amp; Assumptions'!$V$67,0)</f>
        <v>0</v>
      </c>
      <c r="AN56" s="12">
        <f>IF(AN$4='Inputs &amp; Assumptions'!$W$68,'Pro Forma'!AN63*'Inputs &amp; Assumptions'!$V$66+'Inputs &amp; Assumptions'!$V$67,0)</f>
        <v>0</v>
      </c>
      <c r="AO56" s="12">
        <f>IF(AO$4='Inputs &amp; Assumptions'!$W$68,'Pro Forma'!AO63*'Inputs &amp; Assumptions'!$V$66+'Inputs &amp; Assumptions'!$V$67,0)</f>
        <v>0</v>
      </c>
      <c r="AP56" s="12">
        <f>IF(AP$4='Inputs &amp; Assumptions'!$W$68,'Pro Forma'!AP63*'Inputs &amp; Assumptions'!$V$66+'Inputs &amp; Assumptions'!$V$67,0)</f>
        <v>0</v>
      </c>
      <c r="AQ56" s="12">
        <f>IF(AQ$4='Inputs &amp; Assumptions'!$W$68,'Pro Forma'!AQ63*'Inputs &amp; Assumptions'!$V$66+'Inputs &amp; Assumptions'!$V$67,0)</f>
        <v>0</v>
      </c>
      <c r="AR56" s="12">
        <f>SUM(AF56:AQ56)</f>
        <v>0</v>
      </c>
      <c r="AS56" s="12">
        <f>IF(AS$4='Inputs &amp; Assumptions'!$W$68,'Pro Forma'!AS63*'Inputs &amp; Assumptions'!$V$66+'Inputs &amp; Assumptions'!$V$67,0)</f>
        <v>0</v>
      </c>
      <c r="AT56" s="12">
        <f>IF(AT$4='Inputs &amp; Assumptions'!$W$68,'Pro Forma'!AT63*'Inputs &amp; Assumptions'!$V$66+'Inputs &amp; Assumptions'!$V$67,0)</f>
        <v>0</v>
      </c>
      <c r="AU56" s="12">
        <f>IF(AU$4='Inputs &amp; Assumptions'!$W$68,'Pro Forma'!AU63*'Inputs &amp; Assumptions'!$V$66+'Inputs &amp; Assumptions'!$V$67,0)</f>
        <v>0</v>
      </c>
      <c r="AV56" s="12">
        <f>IF(AV$4='Inputs &amp; Assumptions'!$W$68,'Pro Forma'!AV63*'Inputs &amp; Assumptions'!$V$66+'Inputs &amp; Assumptions'!$V$67,0)</f>
        <v>0</v>
      </c>
      <c r="AW56" s="12">
        <f>IF(AW$4='Inputs &amp; Assumptions'!$W$68,'Pro Forma'!AW63*'Inputs &amp; Assumptions'!$V$66+'Inputs &amp; Assumptions'!$V$67,0)</f>
        <v>0</v>
      </c>
      <c r="AX56" s="12">
        <f>IF(AX$4='Inputs &amp; Assumptions'!$W$68,'Pro Forma'!AX63*'Inputs &amp; Assumptions'!$V$66+'Inputs &amp; Assumptions'!$V$67,0)</f>
        <v>0</v>
      </c>
      <c r="AY56" s="12">
        <f>IF(AY$4='Inputs &amp; Assumptions'!$W$68,'Pro Forma'!AY63*'Inputs &amp; Assumptions'!$V$66+'Inputs &amp; Assumptions'!$V$67,0)</f>
        <v>0</v>
      </c>
      <c r="AZ56" s="12">
        <f>IF(AZ$4='Inputs &amp; Assumptions'!$W$68,'Pro Forma'!AZ63*'Inputs &amp; Assumptions'!$V$66+'Inputs &amp; Assumptions'!$V$67,0)</f>
        <v>0</v>
      </c>
      <c r="BA56" s="12">
        <f>IF(BA$4='Inputs &amp; Assumptions'!$W$68,'Pro Forma'!BA63*'Inputs &amp; Assumptions'!$V$66+'Inputs &amp; Assumptions'!$V$67,0)</f>
        <v>0</v>
      </c>
      <c r="BB56" s="12">
        <f>IF(BB$4='Inputs &amp; Assumptions'!$W$68,'Pro Forma'!BB63*'Inputs &amp; Assumptions'!$V$66+'Inputs &amp; Assumptions'!$V$67,0)</f>
        <v>0</v>
      </c>
      <c r="BC56" s="12">
        <f>IF(BC$4='Inputs &amp; Assumptions'!$W$68,'Pro Forma'!BC63*'Inputs &amp; Assumptions'!$V$66+'Inputs &amp; Assumptions'!$V$67,0)</f>
        <v>0</v>
      </c>
      <c r="BD56" s="12">
        <f>IF(BD$4='Inputs &amp; Assumptions'!$W$68,'Pro Forma'!BD63*'Inputs &amp; Assumptions'!$V$66+'Inputs &amp; Assumptions'!$V$67,0)</f>
        <v>0</v>
      </c>
      <c r="BE56" s="12">
        <f>SUM(AS56:BD56)</f>
        <v>0</v>
      </c>
      <c r="BF56" s="12">
        <f>IF(BF$4='Inputs &amp; Assumptions'!$W$68,'Pro Forma'!BF63*'Inputs &amp; Assumptions'!$V$66+'Inputs &amp; Assumptions'!$V$67,0)</f>
        <v>0</v>
      </c>
      <c r="BG56" s="12">
        <f>IF(BG$4='Inputs &amp; Assumptions'!$W$68,'Pro Forma'!BG63*'Inputs &amp; Assumptions'!$V$66+'Inputs &amp; Assumptions'!$V$67,0)</f>
        <v>0</v>
      </c>
      <c r="BH56" s="12">
        <f>IF(BH$4='Inputs &amp; Assumptions'!$W$68,'Pro Forma'!BH63*'Inputs &amp; Assumptions'!$V$66+'Inputs &amp; Assumptions'!$V$67,0)</f>
        <v>0</v>
      </c>
      <c r="BI56" s="12">
        <f>IF(BI$4='Inputs &amp; Assumptions'!$W$68,'Pro Forma'!BI63*'Inputs &amp; Assumptions'!$V$66+'Inputs &amp; Assumptions'!$V$67,0)</f>
        <v>0</v>
      </c>
      <c r="BJ56" s="12">
        <f>IF(BJ$4='Inputs &amp; Assumptions'!$W$68,'Pro Forma'!BJ63*'Inputs &amp; Assumptions'!$V$66+'Inputs &amp; Assumptions'!$V$67,0)</f>
        <v>0</v>
      </c>
      <c r="BK56" s="12">
        <f>IF(BK$4='Inputs &amp; Assumptions'!$W$68,'Pro Forma'!BK63*'Inputs &amp; Assumptions'!$V$66+'Inputs &amp; Assumptions'!$V$67,0)</f>
        <v>0</v>
      </c>
      <c r="BL56" s="12">
        <f>IF(BL$4='Inputs &amp; Assumptions'!$W$68,'Pro Forma'!BL63*'Inputs &amp; Assumptions'!$V$66+'Inputs &amp; Assumptions'!$V$67,0)</f>
        <v>0</v>
      </c>
      <c r="BM56" s="12">
        <f>IF(BM$4='Inputs &amp; Assumptions'!$W$68,'Pro Forma'!BM63*'Inputs &amp; Assumptions'!$V$66+'Inputs &amp; Assumptions'!$V$67,0)</f>
        <v>0</v>
      </c>
      <c r="BN56" s="12">
        <f>IF(BN$4='Inputs &amp; Assumptions'!$W$68,'Pro Forma'!BN63*'Inputs &amp; Assumptions'!$V$66+'Inputs &amp; Assumptions'!$V$67,0)</f>
        <v>0</v>
      </c>
      <c r="BO56" s="12">
        <f>IF(BO$4='Inputs &amp; Assumptions'!$W$68,'Pro Forma'!BO63*'Inputs &amp; Assumptions'!$V$66+'Inputs &amp; Assumptions'!$V$67,0)</f>
        <v>0</v>
      </c>
      <c r="BP56" s="12">
        <f>IF(BP$4='Inputs &amp; Assumptions'!$W$68,'Pro Forma'!BP63*'Inputs &amp; Assumptions'!$V$66+'Inputs &amp; Assumptions'!$V$67,0)</f>
        <v>0</v>
      </c>
      <c r="BQ56" s="12">
        <f>IF(BQ$4='Inputs &amp; Assumptions'!$W$68,'Pro Forma'!BQ63*'Inputs &amp; Assumptions'!$V$66+'Inputs &amp; Assumptions'!$V$67,0)</f>
        <v>1766079.779159321</v>
      </c>
      <c r="BR56" s="12">
        <f>SUM(BF56:BQ56)</f>
        <v>1766079.779159321</v>
      </c>
      <c r="BS56" s="12">
        <f>IF(BS$4='Inputs &amp; Assumptions'!$W$68,'Pro Forma'!BS63*'Inputs &amp; Assumptions'!$V$66+'Inputs &amp; Assumptions'!$V$67,0)</f>
        <v>0</v>
      </c>
      <c r="BT56" s="12">
        <f>IF(BT$4='Inputs &amp; Assumptions'!$W$68,'Pro Forma'!BT63*'Inputs &amp; Assumptions'!$V$66+'Inputs &amp; Assumptions'!$V$67,0)</f>
        <v>0</v>
      </c>
      <c r="BU56" s="12">
        <f>IF(BU$4='Inputs &amp; Assumptions'!$W$68,'Pro Forma'!BU63*'Inputs &amp; Assumptions'!$V$66+'Inputs &amp; Assumptions'!$V$67,0)</f>
        <v>0</v>
      </c>
      <c r="BV56" s="12">
        <f>IF(BV$4='Inputs &amp; Assumptions'!$W$68,'Pro Forma'!BV63*'Inputs &amp; Assumptions'!$V$66+'Inputs &amp; Assumptions'!$V$67,0)</f>
        <v>0</v>
      </c>
      <c r="BW56" s="12">
        <f>IF(BW$4='Inputs &amp; Assumptions'!$W$68,'Pro Forma'!BW63*'Inputs &amp; Assumptions'!$V$66+'Inputs &amp; Assumptions'!$V$67,0)</f>
        <v>0</v>
      </c>
      <c r="BX56" s="12">
        <f>IF(BX$4='Inputs &amp; Assumptions'!$W$68,'Pro Forma'!BX63*'Inputs &amp; Assumptions'!$V$66+'Inputs &amp; Assumptions'!$V$67,0)</f>
        <v>0</v>
      </c>
      <c r="BY56" s="12">
        <f>IF(BY$4='Inputs &amp; Assumptions'!$W$68,'Pro Forma'!BY63*'Inputs &amp; Assumptions'!$V$66+'Inputs &amp; Assumptions'!$V$67,0)</f>
        <v>0</v>
      </c>
      <c r="BZ56" s="12">
        <f>IF(BZ$4='Inputs &amp; Assumptions'!$W$68,'Pro Forma'!BZ63*'Inputs &amp; Assumptions'!$V$66+'Inputs &amp; Assumptions'!$V$67,0)</f>
        <v>0</v>
      </c>
      <c r="CA56" s="12">
        <f>IF(CA$4='Inputs &amp; Assumptions'!$W$68,'Pro Forma'!CA63*'Inputs &amp; Assumptions'!$V$66+'Inputs &amp; Assumptions'!$V$67,0)</f>
        <v>0</v>
      </c>
      <c r="CB56" s="12">
        <f>IF(CB$4='Inputs &amp; Assumptions'!$W$68,'Pro Forma'!CB63*'Inputs &amp; Assumptions'!$V$66+'Inputs &amp; Assumptions'!$V$67,0)</f>
        <v>0</v>
      </c>
      <c r="CC56" s="12">
        <f>IF(CC$4='Inputs &amp; Assumptions'!$W$68,'Pro Forma'!CC63*'Inputs &amp; Assumptions'!$V$66+'Inputs &amp; Assumptions'!$V$67,0)</f>
        <v>0</v>
      </c>
      <c r="CD56" s="12">
        <f>IF(CD$4='Inputs &amp; Assumptions'!$W$68,'Pro Forma'!CD63*'Inputs &amp; Assumptions'!$V$66+'Inputs &amp; Assumptions'!$V$67,0)</f>
        <v>0</v>
      </c>
      <c r="CE56" s="12">
        <f>SUM(BS56:CD56)</f>
        <v>0</v>
      </c>
      <c r="CF56" s="12">
        <f>IF(CF$4='Inputs &amp; Assumptions'!$W$68,'Pro Forma'!CF63*'Inputs &amp; Assumptions'!$V$66+'Inputs &amp; Assumptions'!$V$67,0)</f>
        <v>0</v>
      </c>
      <c r="CG56" s="12">
        <f>IF(CG$4='Inputs &amp; Assumptions'!$W$68,'Pro Forma'!CG63*'Inputs &amp; Assumptions'!$V$66+'Inputs &amp; Assumptions'!$V$67,0)</f>
        <v>0</v>
      </c>
      <c r="CH56" s="12">
        <f>IF(CH$4='Inputs &amp; Assumptions'!$W$68,'Pro Forma'!CH63*'Inputs &amp; Assumptions'!$V$66+'Inputs &amp; Assumptions'!$V$67,0)</f>
        <v>0</v>
      </c>
      <c r="CI56" s="12">
        <f>IF(CI$4='Inputs &amp; Assumptions'!$W$68,'Pro Forma'!CI63*'Inputs &amp; Assumptions'!$V$66+'Inputs &amp; Assumptions'!$V$67,0)</f>
        <v>0</v>
      </c>
      <c r="CJ56" s="12">
        <f>IF(CJ$4='Inputs &amp; Assumptions'!$W$68,'Pro Forma'!CJ63*'Inputs &amp; Assumptions'!$V$66+'Inputs &amp; Assumptions'!$V$67,0)</f>
        <v>0</v>
      </c>
      <c r="CK56" s="12">
        <f>IF(CK$4='Inputs &amp; Assumptions'!$W$68,'Pro Forma'!CK63*'Inputs &amp; Assumptions'!$V$66+'Inputs &amp; Assumptions'!$V$67,0)</f>
        <v>0</v>
      </c>
      <c r="CL56" s="12">
        <f>IF(CL$4='Inputs &amp; Assumptions'!$W$68,'Pro Forma'!CL63*'Inputs &amp; Assumptions'!$V$66+'Inputs &amp; Assumptions'!$V$67,0)</f>
        <v>0</v>
      </c>
      <c r="CM56" s="12">
        <f>IF(CM$4='Inputs &amp; Assumptions'!$W$68,'Pro Forma'!CM63*'Inputs &amp; Assumptions'!$V$66+'Inputs &amp; Assumptions'!$V$67,0)</f>
        <v>0</v>
      </c>
      <c r="CN56" s="12">
        <f>IF(CN$4='Inputs &amp; Assumptions'!$W$68,'Pro Forma'!CN63*'Inputs &amp; Assumptions'!$V$66+'Inputs &amp; Assumptions'!$V$67,0)</f>
        <v>0</v>
      </c>
      <c r="CO56" s="12">
        <f>IF(CO$4='Inputs &amp; Assumptions'!$W$68,'Pro Forma'!CO63*'Inputs &amp; Assumptions'!$V$66+'Inputs &amp; Assumptions'!$V$67,0)</f>
        <v>0</v>
      </c>
      <c r="CP56" s="12">
        <f>IF(CP$4='Inputs &amp; Assumptions'!$W$68,'Pro Forma'!CP63*'Inputs &amp; Assumptions'!$V$66+'Inputs &amp; Assumptions'!$V$67,0)</f>
        <v>0</v>
      </c>
      <c r="CQ56" s="12">
        <f>IF(CQ$4='Inputs &amp; Assumptions'!$W$68,'Pro Forma'!CQ63*'Inputs &amp; Assumptions'!$V$66+'Inputs &amp; Assumptions'!$V$67,0)</f>
        <v>0</v>
      </c>
      <c r="CR56" s="12">
        <f>SUM(CF56:CQ56)</f>
        <v>0</v>
      </c>
      <c r="CS56" s="12">
        <f>IF(CS$4='Inputs &amp; Assumptions'!$W$68,'Pro Forma'!CS63*'Inputs &amp; Assumptions'!$V$66+'Inputs &amp; Assumptions'!$V$67,0)</f>
        <v>0</v>
      </c>
      <c r="CT56" s="12">
        <f>IF(CT$4='Inputs &amp; Assumptions'!$W$68,'Pro Forma'!CT63*'Inputs &amp; Assumptions'!$V$66+'Inputs &amp; Assumptions'!$V$67,0)</f>
        <v>0</v>
      </c>
      <c r="CU56" s="12">
        <f>IF(CU$4='Inputs &amp; Assumptions'!$W$68,'Pro Forma'!CU63*'Inputs &amp; Assumptions'!$V$66+'Inputs &amp; Assumptions'!$V$67,0)</f>
        <v>0</v>
      </c>
      <c r="CV56" s="12">
        <f>IF(CV$4='Inputs &amp; Assumptions'!$W$68,'Pro Forma'!CV63*'Inputs &amp; Assumptions'!$V$66+'Inputs &amp; Assumptions'!$V$67,0)</f>
        <v>0</v>
      </c>
      <c r="CW56" s="12">
        <f>IF(CW$4='Inputs &amp; Assumptions'!$W$68,'Pro Forma'!CW63*'Inputs &amp; Assumptions'!$V$66+'Inputs &amp; Assumptions'!$V$67,0)</f>
        <v>0</v>
      </c>
      <c r="CX56" s="12">
        <f>IF(CX$4='Inputs &amp; Assumptions'!$W$68,'Pro Forma'!CX63*'Inputs &amp; Assumptions'!$V$66+'Inputs &amp; Assumptions'!$V$67,0)</f>
        <v>0</v>
      </c>
      <c r="CY56" s="12">
        <f>IF(CY$4='Inputs &amp; Assumptions'!$W$68,'Pro Forma'!CY63*'Inputs &amp; Assumptions'!$V$66+'Inputs &amp; Assumptions'!$V$67,0)</f>
        <v>0</v>
      </c>
      <c r="CZ56" s="12">
        <f>IF(CZ$4='Inputs &amp; Assumptions'!$W$68,'Pro Forma'!CZ63*'Inputs &amp; Assumptions'!$V$66+'Inputs &amp; Assumptions'!$V$67,0)</f>
        <v>0</v>
      </c>
      <c r="DA56" s="12">
        <f>IF(DA$4='Inputs &amp; Assumptions'!$W$68,'Pro Forma'!DA63*'Inputs &amp; Assumptions'!$V$66+'Inputs &amp; Assumptions'!$V$67,0)</f>
        <v>0</v>
      </c>
      <c r="DB56" s="12">
        <f>IF(DB$4='Inputs &amp; Assumptions'!$W$68,'Pro Forma'!DB63*'Inputs &amp; Assumptions'!$V$66+'Inputs &amp; Assumptions'!$V$67,0)</f>
        <v>0</v>
      </c>
      <c r="DC56" s="12">
        <f>IF(DC$4='Inputs &amp; Assumptions'!$W$68,'Pro Forma'!DC63*'Inputs &amp; Assumptions'!$V$66+'Inputs &amp; Assumptions'!$V$67,0)</f>
        <v>0</v>
      </c>
      <c r="DD56" s="12">
        <f>IF(DD$4='Inputs &amp; Assumptions'!$W$68,'Pro Forma'!DD63*'Inputs &amp; Assumptions'!$V$66+'Inputs &amp; Assumptions'!$V$67,0)</f>
        <v>0</v>
      </c>
      <c r="DE56" s="12">
        <f>SUM(CS56:DD56)</f>
        <v>0</v>
      </c>
      <c r="DF56" s="12">
        <f>IF(DF$4='Inputs &amp; Assumptions'!$W$68,'Pro Forma'!DF63*'Inputs &amp; Assumptions'!$V$66+'Inputs &amp; Assumptions'!$V$67,0)</f>
        <v>0</v>
      </c>
      <c r="DG56" s="12">
        <f>IF(DG$4='Inputs &amp; Assumptions'!$W$68,'Pro Forma'!DG63*'Inputs &amp; Assumptions'!$V$66+'Inputs &amp; Assumptions'!$V$67,0)</f>
        <v>0</v>
      </c>
      <c r="DH56" s="12">
        <f>IF(DH$4='Inputs &amp; Assumptions'!$W$68,'Pro Forma'!DH63*'Inputs &amp; Assumptions'!$V$66+'Inputs &amp; Assumptions'!$V$67,0)</f>
        <v>0</v>
      </c>
      <c r="DI56" s="12">
        <f>IF(DI$4='Inputs &amp; Assumptions'!$W$68,'Pro Forma'!DI63*'Inputs &amp; Assumptions'!$V$66+'Inputs &amp; Assumptions'!$V$67,0)</f>
        <v>0</v>
      </c>
      <c r="DJ56" s="12">
        <f>IF(DJ$4='Inputs &amp; Assumptions'!$W$68,'Pro Forma'!DJ63*'Inputs &amp; Assumptions'!$V$66+'Inputs &amp; Assumptions'!$V$67,0)</f>
        <v>0</v>
      </c>
      <c r="DK56" s="12">
        <f>IF(DK$4='Inputs &amp; Assumptions'!$W$68,'Pro Forma'!DK63*'Inputs &amp; Assumptions'!$V$66+'Inputs &amp; Assumptions'!$V$67,0)</f>
        <v>0</v>
      </c>
      <c r="DL56" s="12">
        <f>IF(DL$4='Inputs &amp; Assumptions'!$W$68,'Pro Forma'!DL63*'Inputs &amp; Assumptions'!$V$66+'Inputs &amp; Assumptions'!$V$67,0)</f>
        <v>0</v>
      </c>
      <c r="DM56" s="12">
        <f>IF(DM$4='Inputs &amp; Assumptions'!$W$68,'Pro Forma'!DM63*'Inputs &amp; Assumptions'!$V$66+'Inputs &amp; Assumptions'!$V$67,0)</f>
        <v>0</v>
      </c>
      <c r="DN56" s="12">
        <f>IF(DN$4='Inputs &amp; Assumptions'!$W$68,'Pro Forma'!DN63*'Inputs &amp; Assumptions'!$V$66+'Inputs &amp; Assumptions'!$V$67,0)</f>
        <v>0</v>
      </c>
      <c r="DO56" s="12">
        <f>IF(DO$4='Inputs &amp; Assumptions'!$W$68,'Pro Forma'!DO63*'Inputs &amp; Assumptions'!$V$66+'Inputs &amp; Assumptions'!$V$67,0)</f>
        <v>0</v>
      </c>
      <c r="DP56" s="12">
        <f>IF(DP$4='Inputs &amp; Assumptions'!$W$68,'Pro Forma'!DP63*'Inputs &amp; Assumptions'!$V$66+'Inputs &amp; Assumptions'!$V$67,0)</f>
        <v>0</v>
      </c>
      <c r="DQ56" s="12">
        <f>IF(DQ$4='Inputs &amp; Assumptions'!$W$68,'Pro Forma'!DQ63*'Inputs &amp; Assumptions'!$V$66+'Inputs &amp; Assumptions'!$V$67,0)</f>
        <v>0</v>
      </c>
      <c r="DR56" s="12">
        <f>SUM(DF56:DQ56)</f>
        <v>0</v>
      </c>
      <c r="DS56" s="12">
        <f>IF(DS$4='Inputs &amp; Assumptions'!$W$68,'Pro Forma'!DS63*'Inputs &amp; Assumptions'!$V$66+'Inputs &amp; Assumptions'!$V$67,0)</f>
        <v>0</v>
      </c>
      <c r="DT56" s="12">
        <f>IF(DT$4='Inputs &amp; Assumptions'!$W$68,'Pro Forma'!DT63*'Inputs &amp; Assumptions'!$V$66+'Inputs &amp; Assumptions'!$V$67,0)</f>
        <v>0</v>
      </c>
      <c r="DU56" s="12">
        <f>IF(DU$4='Inputs &amp; Assumptions'!$W$68,'Pro Forma'!DU63*'Inputs &amp; Assumptions'!$V$66+'Inputs &amp; Assumptions'!$V$67,0)</f>
        <v>0</v>
      </c>
      <c r="DV56" s="12">
        <f>IF(DV$4='Inputs &amp; Assumptions'!$W$68,'Pro Forma'!DV63*'Inputs &amp; Assumptions'!$V$66+'Inputs &amp; Assumptions'!$V$67,0)</f>
        <v>0</v>
      </c>
      <c r="DW56" s="12">
        <f>IF(DW$4='Inputs &amp; Assumptions'!$W$68,'Pro Forma'!DW63*'Inputs &amp; Assumptions'!$V$66+'Inputs &amp; Assumptions'!$V$67,0)</f>
        <v>0</v>
      </c>
      <c r="DX56" s="12">
        <f>IF(DX$4='Inputs &amp; Assumptions'!$W$68,'Pro Forma'!DX63*'Inputs &amp; Assumptions'!$V$66+'Inputs &amp; Assumptions'!$V$67,0)</f>
        <v>0</v>
      </c>
      <c r="DY56" s="12">
        <f>IF(DY$4='Inputs &amp; Assumptions'!$W$68,'Pro Forma'!DY63*'Inputs &amp; Assumptions'!$V$66+'Inputs &amp; Assumptions'!$V$67,0)</f>
        <v>0</v>
      </c>
      <c r="DZ56" s="12">
        <f>IF(DZ$4='Inputs &amp; Assumptions'!$W$68,'Pro Forma'!DZ63*'Inputs &amp; Assumptions'!$V$66+'Inputs &amp; Assumptions'!$V$67,0)</f>
        <v>0</v>
      </c>
      <c r="EA56" s="12">
        <f>IF(EA$4='Inputs &amp; Assumptions'!$W$68,'Pro Forma'!EA63*'Inputs &amp; Assumptions'!$V$66+'Inputs &amp; Assumptions'!$V$67,0)</f>
        <v>0</v>
      </c>
      <c r="EB56" s="12">
        <f>IF(EB$4='Inputs &amp; Assumptions'!$W$68,'Pro Forma'!EB63*'Inputs &amp; Assumptions'!$V$66+'Inputs &amp; Assumptions'!$V$67,0)</f>
        <v>0</v>
      </c>
      <c r="EC56" s="12">
        <f>IF(EC$4='Inputs &amp; Assumptions'!$W$68,'Pro Forma'!EC63*'Inputs &amp; Assumptions'!$V$66+'Inputs &amp; Assumptions'!$V$67,0)</f>
        <v>0</v>
      </c>
      <c r="ED56" s="12">
        <f>IF(ED$4='Inputs &amp; Assumptions'!$W$68,'Pro Forma'!ED63*'Inputs &amp; Assumptions'!$V$66+'Inputs &amp; Assumptions'!$V$67,0)</f>
        <v>0</v>
      </c>
      <c r="EE56" s="242">
        <f>SUM(DS56:ED56)</f>
        <v>0</v>
      </c>
      <c r="EF56" s="11"/>
      <c r="EG56" s="11"/>
      <c r="EH56" s="11"/>
      <c r="EI56" s="11"/>
    </row>
    <row r="57" spans="2:139">
      <c r="B57" s="753" t="s">
        <v>319</v>
      </c>
      <c r="C57" s="1098"/>
      <c r="D57" s="1098"/>
      <c r="E57" s="1098"/>
      <c r="F57" s="1057">
        <f>F36-F39-F40-F45-F50+F53</f>
        <v>64855.058391526371</v>
      </c>
      <c r="G57" s="1057">
        <f>G36-G39-G40-G45-G50+G53</f>
        <v>64855.058391526371</v>
      </c>
      <c r="H57" s="1057">
        <f t="shared" ref="H57:Q57" si="568">H36-H39-H40-H45-H50+H53</f>
        <v>64855.058391526371</v>
      </c>
      <c r="I57" s="1057">
        <f t="shared" si="568"/>
        <v>64855.058391526371</v>
      </c>
      <c r="J57" s="1057">
        <f>J36-J39-J40-J45-J50+J53</f>
        <v>64855.058391526371</v>
      </c>
      <c r="K57" s="1057">
        <f t="shared" si="568"/>
        <v>64855.058391526371</v>
      </c>
      <c r="L57" s="1057">
        <f t="shared" si="568"/>
        <v>64855.058391526371</v>
      </c>
      <c r="M57" s="1057">
        <f t="shared" si="568"/>
        <v>64855.058391526371</v>
      </c>
      <c r="N57" s="1057">
        <f t="shared" si="568"/>
        <v>64855.058391526371</v>
      </c>
      <c r="O57" s="1057">
        <f t="shared" si="568"/>
        <v>64855.058391526371</v>
      </c>
      <c r="P57" s="1057">
        <f t="shared" si="568"/>
        <v>64855.058391526371</v>
      </c>
      <c r="Q57" s="1057">
        <f t="shared" si="568"/>
        <v>64855.058391526371</v>
      </c>
      <c r="R57" s="1057">
        <f>R36-R39-R40-R45-R50</f>
        <v>778260.7006983161</v>
      </c>
      <c r="S57" s="1057">
        <f>S36-S39-S40-S45-S50</f>
        <v>115614.84773127051</v>
      </c>
      <c r="T57" s="1057">
        <f t="shared" ref="T57:CC57" si="569">T36-T39-T40-T45-T50</f>
        <v>115614.84773127051</v>
      </c>
      <c r="U57" s="1057">
        <f>U36-U39-U40-U45-U50</f>
        <v>115614.84773127051</v>
      </c>
      <c r="V57" s="1057">
        <f>V36-V39-V40-V45-V50</f>
        <v>115614.84773127051</v>
      </c>
      <c r="W57" s="1057">
        <f>W36-W39-W40-W45-W50</f>
        <v>115614.84773127051</v>
      </c>
      <c r="X57" s="1057">
        <f>X36-X39-X40-X45-X50</f>
        <v>115614.84773127051</v>
      </c>
      <c r="Y57" s="1057">
        <f>Y36-Y39-Y40-Y45-Y50</f>
        <v>115614.84773127051</v>
      </c>
      <c r="Z57" s="1057">
        <f t="shared" si="569"/>
        <v>115614.84773127051</v>
      </c>
      <c r="AA57" s="1057">
        <f>AA36-AA39-AA40-AA45-AA50</f>
        <v>115614.84773127051</v>
      </c>
      <c r="AB57" s="1057">
        <f t="shared" si="569"/>
        <v>115614.84773127051</v>
      </c>
      <c r="AC57" s="1057">
        <f t="shared" si="569"/>
        <v>115614.84773127051</v>
      </c>
      <c r="AD57" s="1057">
        <f t="shared" si="569"/>
        <v>115614.84773127051</v>
      </c>
      <c r="AE57" s="1057">
        <f>AE36-AE39-AE40-AE45-AE50</f>
        <v>1387378.1727752462</v>
      </c>
      <c r="AF57" s="1057">
        <f>AF36-AF39-AF40-AF45-AF50</f>
        <v>172704.61944618166</v>
      </c>
      <c r="AG57" s="1057">
        <f t="shared" si="569"/>
        <v>172704.61944618166</v>
      </c>
      <c r="AH57" s="1057">
        <f t="shared" si="569"/>
        <v>172704.61944618166</v>
      </c>
      <c r="AI57" s="1057">
        <f t="shared" si="569"/>
        <v>172704.61944618166</v>
      </c>
      <c r="AJ57" s="1057">
        <f t="shared" si="569"/>
        <v>172704.61944618166</v>
      </c>
      <c r="AK57" s="1057">
        <f t="shared" si="569"/>
        <v>172704.61944618166</v>
      </c>
      <c r="AL57" s="1057">
        <f t="shared" si="569"/>
        <v>172704.61944618166</v>
      </c>
      <c r="AM57" s="1057">
        <f t="shared" si="569"/>
        <v>172704.61944618166</v>
      </c>
      <c r="AN57" s="1057">
        <f t="shared" si="569"/>
        <v>172704.61944618166</v>
      </c>
      <c r="AO57" s="1057">
        <f t="shared" si="569"/>
        <v>172704.61944618166</v>
      </c>
      <c r="AP57" s="1057">
        <f>AP36-AP39-AP40-AP45-AP50</f>
        <v>172704.61944618166</v>
      </c>
      <c r="AQ57" s="1057">
        <f t="shared" si="569"/>
        <v>172704.61944618166</v>
      </c>
      <c r="AR57" s="1057">
        <f>AR36-AR39-AR40-AR45-AR50</f>
        <v>2072455.4333541789</v>
      </c>
      <c r="AS57" s="1057">
        <f>AS36-AS39-AS40-AS45-AS50</f>
        <v>101430.34276807297</v>
      </c>
      <c r="AT57" s="1057">
        <f t="shared" si="569"/>
        <v>101430.34276807297</v>
      </c>
      <c r="AU57" s="1057">
        <f t="shared" si="569"/>
        <v>101430.34276807297</v>
      </c>
      <c r="AV57" s="1057">
        <f t="shared" si="569"/>
        <v>101430.34276807297</v>
      </c>
      <c r="AW57" s="1057">
        <f t="shared" si="569"/>
        <v>101430.34276807297</v>
      </c>
      <c r="AX57" s="1057">
        <f t="shared" si="569"/>
        <v>101430.34276807297</v>
      </c>
      <c r="AY57" s="1057">
        <f t="shared" si="569"/>
        <v>101430.34276807297</v>
      </c>
      <c r="AZ57" s="1057">
        <f t="shared" si="569"/>
        <v>101430.34276807297</v>
      </c>
      <c r="BA57" s="1057">
        <f t="shared" si="569"/>
        <v>101430.34276807297</v>
      </c>
      <c r="BB57" s="1057">
        <f t="shared" si="569"/>
        <v>101430.34276807297</v>
      </c>
      <c r="BC57" s="1057">
        <f t="shared" si="569"/>
        <v>101430.34276807297</v>
      </c>
      <c r="BD57" s="1057">
        <f t="shared" si="569"/>
        <v>101430.34276807297</v>
      </c>
      <c r="BE57" s="1057">
        <f t="shared" si="569"/>
        <v>1217164.1132168742</v>
      </c>
      <c r="BF57" s="1057">
        <f t="shared" si="569"/>
        <v>110154.04035093717</v>
      </c>
      <c r="BG57" s="1057">
        <f t="shared" si="569"/>
        <v>110154.04035093717</v>
      </c>
      <c r="BH57" s="1057">
        <f t="shared" si="569"/>
        <v>110154.04035093717</v>
      </c>
      <c r="BI57" s="1057">
        <f t="shared" si="569"/>
        <v>110154.04035093717</v>
      </c>
      <c r="BJ57" s="1057">
        <f t="shared" si="569"/>
        <v>110154.04035093717</v>
      </c>
      <c r="BK57" s="1057">
        <f t="shared" si="569"/>
        <v>110154.04035093717</v>
      </c>
      <c r="BL57" s="1057">
        <f t="shared" si="569"/>
        <v>110154.04035093717</v>
      </c>
      <c r="BM57" s="1057">
        <f t="shared" si="569"/>
        <v>110154.04035093717</v>
      </c>
      <c r="BN57" s="1057">
        <f t="shared" si="569"/>
        <v>110154.04035093717</v>
      </c>
      <c r="BO57" s="1057">
        <f t="shared" si="569"/>
        <v>110154.04035093717</v>
      </c>
      <c r="BP57" s="1057">
        <f t="shared" si="569"/>
        <v>110154.04035093717</v>
      </c>
      <c r="BQ57" s="1057">
        <f t="shared" si="569"/>
        <v>110154.04035093717</v>
      </c>
      <c r="BR57" s="1057">
        <f t="shared" si="569"/>
        <v>1321848.4842112451</v>
      </c>
      <c r="BS57" s="1057">
        <f t="shared" si="569"/>
        <v>81437.758262729389</v>
      </c>
      <c r="BT57" s="1057">
        <f t="shared" si="569"/>
        <v>81437.758262729389</v>
      </c>
      <c r="BU57" s="1057">
        <f t="shared" si="569"/>
        <v>81437.758262729389</v>
      </c>
      <c r="BV57" s="1057">
        <f t="shared" si="569"/>
        <v>81437.758262729389</v>
      </c>
      <c r="BW57" s="1057">
        <f t="shared" si="569"/>
        <v>81437.758262729389</v>
      </c>
      <c r="BX57" s="1057">
        <f t="shared" si="569"/>
        <v>81437.758262729389</v>
      </c>
      <c r="BY57" s="1057">
        <f t="shared" si="569"/>
        <v>81437.758262729389</v>
      </c>
      <c r="BZ57" s="1057">
        <f t="shared" si="569"/>
        <v>81437.758262729389</v>
      </c>
      <c r="CA57" s="1057">
        <f t="shared" si="569"/>
        <v>81437.758262729389</v>
      </c>
      <c r="CB57" s="1057">
        <f t="shared" si="569"/>
        <v>81437.758262729389</v>
      </c>
      <c r="CC57" s="1057">
        <f t="shared" si="569"/>
        <v>81437.758262729389</v>
      </c>
      <c r="CD57" s="1057">
        <f t="shared" ref="CD57:EE57" si="570">CD36-CD39-CD40-CD45-CD50</f>
        <v>81437.758262729389</v>
      </c>
      <c r="CE57" s="1057">
        <f t="shared" si="570"/>
        <v>977253.0991527536</v>
      </c>
      <c r="CF57" s="1057">
        <f t="shared" si="570"/>
        <v>90692.72902839008</v>
      </c>
      <c r="CG57" s="1057">
        <f t="shared" si="570"/>
        <v>90692.72902839008</v>
      </c>
      <c r="CH57" s="1057">
        <f t="shared" si="570"/>
        <v>90692.72902839008</v>
      </c>
      <c r="CI57" s="1057">
        <f t="shared" si="570"/>
        <v>90692.72902839008</v>
      </c>
      <c r="CJ57" s="1057">
        <f t="shared" si="570"/>
        <v>90692.72902839008</v>
      </c>
      <c r="CK57" s="1057">
        <f t="shared" si="570"/>
        <v>90692.72902839008</v>
      </c>
      <c r="CL57" s="1057">
        <f t="shared" si="570"/>
        <v>90692.72902839008</v>
      </c>
      <c r="CM57" s="1057">
        <f t="shared" si="570"/>
        <v>90692.72902839008</v>
      </c>
      <c r="CN57" s="1057">
        <f t="shared" si="570"/>
        <v>90692.72902839008</v>
      </c>
      <c r="CO57" s="1057">
        <f t="shared" si="570"/>
        <v>90692.72902839008</v>
      </c>
      <c r="CP57" s="1057">
        <f t="shared" si="570"/>
        <v>90692.72902839008</v>
      </c>
      <c r="CQ57" s="1057">
        <f t="shared" si="570"/>
        <v>90692.72902839008</v>
      </c>
      <c r="CR57" s="1057">
        <f t="shared" si="570"/>
        <v>1088312.7483406817</v>
      </c>
      <c r="CS57" s="1057">
        <f t="shared" si="570"/>
        <v>100225.3489170206</v>
      </c>
      <c r="CT57" s="1057">
        <f t="shared" si="570"/>
        <v>100225.3489170206</v>
      </c>
      <c r="CU57" s="1057">
        <f t="shared" si="570"/>
        <v>100225.3489170206</v>
      </c>
      <c r="CV57" s="1057">
        <f t="shared" si="570"/>
        <v>100225.3489170206</v>
      </c>
      <c r="CW57" s="1057">
        <f t="shared" si="570"/>
        <v>100225.3489170206</v>
      </c>
      <c r="CX57" s="1057">
        <f t="shared" si="570"/>
        <v>100225.3489170206</v>
      </c>
      <c r="CY57" s="1057">
        <f t="shared" si="570"/>
        <v>100225.3489170206</v>
      </c>
      <c r="CZ57" s="1057">
        <f t="shared" si="570"/>
        <v>100225.3489170206</v>
      </c>
      <c r="DA57" s="1057">
        <f t="shared" si="570"/>
        <v>100225.3489170206</v>
      </c>
      <c r="DB57" s="1057">
        <f t="shared" si="570"/>
        <v>100225.3489170206</v>
      </c>
      <c r="DC57" s="1057">
        <f t="shared" si="570"/>
        <v>100225.3489170206</v>
      </c>
      <c r="DD57" s="1057">
        <f t="shared" si="570"/>
        <v>100225.3489170206</v>
      </c>
      <c r="DE57" s="1057">
        <f t="shared" si="570"/>
        <v>1202704.1870042477</v>
      </c>
      <c r="DF57" s="1057">
        <f t="shared" si="570"/>
        <v>110043.94740230974</v>
      </c>
      <c r="DG57" s="1057">
        <f t="shared" si="570"/>
        <v>110043.94740230974</v>
      </c>
      <c r="DH57" s="1057">
        <f t="shared" si="570"/>
        <v>110043.94740230974</v>
      </c>
      <c r="DI57" s="1057">
        <f t="shared" si="570"/>
        <v>110043.94740230974</v>
      </c>
      <c r="DJ57" s="1057">
        <f t="shared" si="570"/>
        <v>110043.94740230974</v>
      </c>
      <c r="DK57" s="1057">
        <f t="shared" si="570"/>
        <v>110043.94740230974</v>
      </c>
      <c r="DL57" s="1057">
        <f t="shared" si="570"/>
        <v>110043.94740230974</v>
      </c>
      <c r="DM57" s="1057">
        <f t="shared" si="570"/>
        <v>110043.94740230974</v>
      </c>
      <c r="DN57" s="1057">
        <f t="shared" si="570"/>
        <v>110043.94740230974</v>
      </c>
      <c r="DO57" s="1057">
        <f t="shared" si="570"/>
        <v>110043.94740230974</v>
      </c>
      <c r="DP57" s="1057">
        <f t="shared" si="570"/>
        <v>110043.94740230974</v>
      </c>
      <c r="DQ57" s="1057">
        <f t="shared" si="570"/>
        <v>110043.94740230974</v>
      </c>
      <c r="DR57" s="1057">
        <f t="shared" si="570"/>
        <v>1320527.3688277174</v>
      </c>
      <c r="DS57" s="1057">
        <f t="shared" si="570"/>
        <v>120157.10384215799</v>
      </c>
      <c r="DT57" s="1057">
        <f t="shared" si="570"/>
        <v>120157.10384215799</v>
      </c>
      <c r="DU57" s="1057">
        <f t="shared" si="570"/>
        <v>120157.10384215799</v>
      </c>
      <c r="DV57" s="1057">
        <f t="shared" si="570"/>
        <v>120157.10384215799</v>
      </c>
      <c r="DW57" s="1057">
        <f t="shared" si="570"/>
        <v>120157.10384215799</v>
      </c>
      <c r="DX57" s="1057">
        <f t="shared" si="570"/>
        <v>120157.10384215799</v>
      </c>
      <c r="DY57" s="1057">
        <f t="shared" si="570"/>
        <v>120157.10384215799</v>
      </c>
      <c r="DZ57" s="1057">
        <f t="shared" si="570"/>
        <v>120157.10384215799</v>
      </c>
      <c r="EA57" s="1057">
        <f t="shared" si="570"/>
        <v>120157.10384215799</v>
      </c>
      <c r="EB57" s="1057">
        <f t="shared" si="570"/>
        <v>120157.10384215799</v>
      </c>
      <c r="EC57" s="1057">
        <f t="shared" si="570"/>
        <v>120157.10384215799</v>
      </c>
      <c r="ED57" s="1057">
        <f t="shared" si="570"/>
        <v>120157.10384215799</v>
      </c>
      <c r="EE57" s="754">
        <f t="shared" si="570"/>
        <v>1441885.2461058954</v>
      </c>
      <c r="EF57" s="12"/>
      <c r="EG57" s="11"/>
      <c r="EH57" s="11"/>
      <c r="EI57" s="11"/>
    </row>
    <row r="58" spans="2:139">
      <c r="B58" s="1113" t="s">
        <v>196</v>
      </c>
      <c r="C58" s="1114"/>
      <c r="D58" s="1114"/>
      <c r="E58" s="1114"/>
      <c r="F58" s="1115"/>
      <c r="G58" s="1115"/>
      <c r="H58" s="1115"/>
      <c r="I58" s="1115"/>
      <c r="J58" s="1115"/>
      <c r="K58" s="1115"/>
      <c r="L58" s="1115"/>
      <c r="M58" s="1115"/>
      <c r="N58" s="1115"/>
      <c r="O58" s="1115"/>
      <c r="P58" s="1115"/>
      <c r="Q58" s="1115"/>
      <c r="R58" s="1116">
        <f>(R57-Waterfall!$F$30)/'Cash Flows &amp; Summary'!$Q$29</f>
        <v>-1.4253480106511885E-2</v>
      </c>
      <c r="S58" s="1115"/>
      <c r="T58" s="1115"/>
      <c r="U58" s="1115"/>
      <c r="V58" s="1115"/>
      <c r="W58" s="1115"/>
      <c r="X58" s="1115"/>
      <c r="Y58" s="1115"/>
      <c r="Z58" s="1115"/>
      <c r="AA58" s="1115"/>
      <c r="AB58" s="1115"/>
      <c r="AC58" s="1115"/>
      <c r="AD58" s="1115"/>
      <c r="AE58" s="1116">
        <f>(AE57-Waterfall!$F$30)/'Cash Flows &amp; Summary'!$Q$29</f>
        <v>2.4248989848496522E-2</v>
      </c>
      <c r="AF58" s="1115"/>
      <c r="AG58" s="1115"/>
      <c r="AH58" s="1115"/>
      <c r="AI58" s="1115"/>
      <c r="AJ58" s="1115"/>
      <c r="AK58" s="1115"/>
      <c r="AL58" s="1115"/>
      <c r="AM58" s="1115"/>
      <c r="AN58" s="1115"/>
      <c r="AO58" s="1115"/>
      <c r="AP58" s="1115"/>
      <c r="AQ58" s="1115"/>
      <c r="AR58" s="1116">
        <f>(AR57-Waterfall!$F$30)/'Cash Flows &amp; Summary'!$Q$29</f>
        <v>6.7552897307201709E-2</v>
      </c>
      <c r="AS58" s="1115"/>
      <c r="AT58" s="1115"/>
      <c r="AU58" s="1115"/>
      <c r="AV58" s="1115"/>
      <c r="AW58" s="1115"/>
      <c r="AX58" s="1115"/>
      <c r="AY58" s="1115"/>
      <c r="AZ58" s="1115"/>
      <c r="BA58" s="1115"/>
      <c r="BB58" s="1115"/>
      <c r="BC58" s="1115"/>
      <c r="BD58" s="1115"/>
      <c r="BE58" s="1116">
        <f>(BE57-Waterfall!$F$30)/'Cash Flows &amp; Summary'!$Q$29</f>
        <v>1.3489715957173113E-2</v>
      </c>
      <c r="BF58" s="1115"/>
      <c r="BG58" s="1115"/>
      <c r="BH58" s="1115"/>
      <c r="BI58" s="1115"/>
      <c r="BJ58" s="1115"/>
      <c r="BK58" s="1115"/>
      <c r="BL58" s="1115"/>
      <c r="BM58" s="1115"/>
      <c r="BN58" s="1115"/>
      <c r="BO58" s="1115"/>
      <c r="BP58" s="1115"/>
      <c r="BQ58" s="1115"/>
      <c r="BR58" s="1116">
        <f>(BR57-Waterfall!$F$30)/'Cash Flows &amp; Summary'!$Q$29</f>
        <v>2.0106841608201333E-2</v>
      </c>
      <c r="BS58" s="1115"/>
      <c r="BT58" s="1115"/>
      <c r="BU58" s="1115"/>
      <c r="BV58" s="1115"/>
      <c r="BW58" s="1115"/>
      <c r="BX58" s="1115"/>
      <c r="BY58" s="1115"/>
      <c r="BZ58" s="1115"/>
      <c r="CA58" s="1115"/>
      <c r="CB58" s="1115"/>
      <c r="CC58" s="1115"/>
      <c r="CD58" s="1115"/>
      <c r="CE58" s="1116">
        <f>(CE57-Waterfall!$F$30)/'Cash Flows &amp; Summary'!$Q$29</f>
        <v>-1.6751201119402843E-3</v>
      </c>
      <c r="CF58" s="1116">
        <f>(CF57-Waterfall!$F$30)/'Cash Flows &amp; Summary'!$Q$29</f>
        <v>-5.7714826045220921E-2</v>
      </c>
      <c r="CG58" s="1116">
        <f>(CG57-Waterfall!$F$30)/'Cash Flows &amp; Summary'!$Q$29</f>
        <v>-5.7714826045220921E-2</v>
      </c>
      <c r="CH58" s="1116">
        <f>(CH57-Waterfall!$F$30)/'Cash Flows &amp; Summary'!$Q$29</f>
        <v>-5.7714826045220921E-2</v>
      </c>
      <c r="CI58" s="1116">
        <f>(CI57-Waterfall!$F$30)/'Cash Flows &amp; Summary'!$Q$29</f>
        <v>-5.7714826045220921E-2</v>
      </c>
      <c r="CJ58" s="1116">
        <f>(CJ57-Waterfall!$F$30)/'Cash Flows &amp; Summary'!$Q$29</f>
        <v>-5.7714826045220921E-2</v>
      </c>
      <c r="CK58" s="1116">
        <f>(CK57-Waterfall!$F$30)/'Cash Flows &amp; Summary'!$Q$29</f>
        <v>-5.7714826045220921E-2</v>
      </c>
      <c r="CL58" s="1116">
        <f>(CL57-Waterfall!$F$30)/'Cash Flows &amp; Summary'!$Q$29</f>
        <v>-5.7714826045220921E-2</v>
      </c>
      <c r="CM58" s="1116">
        <f>(CM57-Waterfall!$F$30)/'Cash Flows &amp; Summary'!$Q$29</f>
        <v>-5.7714826045220921E-2</v>
      </c>
      <c r="CN58" s="1116">
        <f>(CN57-Waterfall!$F$30)/'Cash Flows &amp; Summary'!$Q$29</f>
        <v>-5.7714826045220921E-2</v>
      </c>
      <c r="CO58" s="1116">
        <f>(CO57-Waterfall!$F$30)/'Cash Flows &amp; Summary'!$Q$29</f>
        <v>-5.7714826045220921E-2</v>
      </c>
      <c r="CP58" s="1116">
        <f>(CP57-Waterfall!$F$30)/'Cash Flows &amp; Summary'!$Q$29</f>
        <v>-5.7714826045220921E-2</v>
      </c>
      <c r="CQ58" s="1116">
        <f>(CQ57-Waterfall!$F$30)/'Cash Flows &amp; Summary'!$Q$29</f>
        <v>-5.7714826045220921E-2</v>
      </c>
      <c r="CR58" s="1116">
        <f>(CR57-Waterfall!$F$30)/'Cash Flows &amp; Summary'!$Q$29</f>
        <v>5.3449884912355515E-3</v>
      </c>
      <c r="CS58" s="1116">
        <f>(CS57-Waterfall!$F$30)/'Cash Flows &amp; Summary'!$Q$29</f>
        <v>-5.7112266723448324E-2</v>
      </c>
      <c r="CT58" s="1116">
        <f>(CT57-Waterfall!$F$30)/'Cash Flows &amp; Summary'!$Q$29</f>
        <v>-5.7112266723448324E-2</v>
      </c>
      <c r="CU58" s="1116">
        <f>(CU57-Waterfall!$F$30)/'Cash Flows &amp; Summary'!$Q$29</f>
        <v>-5.7112266723448324E-2</v>
      </c>
      <c r="CV58" s="1116">
        <f>(CV57-Waterfall!$F$30)/'Cash Flows &amp; Summary'!$Q$29</f>
        <v>-5.7112266723448324E-2</v>
      </c>
      <c r="CW58" s="1116">
        <f>(CW57-Waterfall!$F$30)/'Cash Flows &amp; Summary'!$Q$29</f>
        <v>-5.7112266723448324E-2</v>
      </c>
      <c r="CX58" s="1116">
        <f>(CX57-Waterfall!$F$30)/'Cash Flows &amp; Summary'!$Q$29</f>
        <v>-5.7112266723448324E-2</v>
      </c>
      <c r="CY58" s="1116">
        <f>(CY57-Waterfall!$F$30)/'Cash Flows &amp; Summary'!$Q$29</f>
        <v>-5.7112266723448324E-2</v>
      </c>
      <c r="CZ58" s="1116">
        <f>(CZ57-Waterfall!$F$30)/'Cash Flows &amp; Summary'!$Q$29</f>
        <v>-5.7112266723448324E-2</v>
      </c>
      <c r="DA58" s="1116">
        <f>(DA57-Waterfall!$F$30)/'Cash Flows &amp; Summary'!$Q$29</f>
        <v>-5.7112266723448324E-2</v>
      </c>
      <c r="DB58" s="1116">
        <f>(DB57-Waterfall!$F$30)/'Cash Flows &amp; Summary'!$Q$29</f>
        <v>-5.7112266723448324E-2</v>
      </c>
      <c r="DC58" s="1116">
        <f>(DC57-Waterfall!$F$30)/'Cash Flows &amp; Summary'!$Q$29</f>
        <v>-5.7112266723448324E-2</v>
      </c>
      <c r="DD58" s="1116">
        <f>(DD57-Waterfall!$F$30)/'Cash Flows &amp; Summary'!$Q$29</f>
        <v>-5.7112266723448324E-2</v>
      </c>
      <c r="DE58" s="1116">
        <f>(DE57-Waterfall!$F$30)/'Cash Flows &amp; Summary'!$Q$29</f>
        <v>1.257570035250667E-2</v>
      </c>
      <c r="DF58" s="1116">
        <f>(DF57-Waterfall!$F$30)/'Cash Flows &amp; Summary'!$Q$29</f>
        <v>-5.6491630622022566E-2</v>
      </c>
      <c r="DG58" s="1116">
        <f>(DG57-Waterfall!$F$30)/'Cash Flows &amp; Summary'!$Q$29</f>
        <v>-5.6491630622022566E-2</v>
      </c>
      <c r="DH58" s="1116">
        <f>(DH57-Waterfall!$F$30)/'Cash Flows &amp; Summary'!$Q$29</f>
        <v>-5.6491630622022566E-2</v>
      </c>
      <c r="DI58" s="1116">
        <f>(DI57-Waterfall!$F$30)/'Cash Flows &amp; Summary'!$Q$29</f>
        <v>-5.6491630622022566E-2</v>
      </c>
      <c r="DJ58" s="1116">
        <f>(DJ57-Waterfall!$F$30)/'Cash Flows &amp; Summary'!$Q$29</f>
        <v>-5.6491630622022566E-2</v>
      </c>
      <c r="DK58" s="1116">
        <f>(DK57-Waterfall!$F$30)/'Cash Flows &amp; Summary'!$Q$29</f>
        <v>-5.6491630622022566E-2</v>
      </c>
      <c r="DL58" s="1116">
        <f>(DL57-Waterfall!$F$30)/'Cash Flows &amp; Summary'!$Q$29</f>
        <v>-5.6491630622022566E-2</v>
      </c>
      <c r="DM58" s="1116">
        <f>(DM57-Waterfall!$F$30)/'Cash Flows &amp; Summary'!$Q$29</f>
        <v>-5.6491630622022566E-2</v>
      </c>
      <c r="DN58" s="1116">
        <f>(DN57-Waterfall!$F$30)/'Cash Flows &amp; Summary'!$Q$29</f>
        <v>-5.6491630622022566E-2</v>
      </c>
      <c r="DO58" s="1116">
        <f>(DO57-Waterfall!$F$30)/'Cash Flows &amp; Summary'!$Q$29</f>
        <v>-5.6491630622022566E-2</v>
      </c>
      <c r="DP58" s="1116">
        <f>(DP57-Waterfall!$F$30)/'Cash Flows &amp; Summary'!$Q$29</f>
        <v>-5.6491630622022566E-2</v>
      </c>
      <c r="DQ58" s="1116">
        <f>(DQ57-Waterfall!$F$30)/'Cash Flows &amp; Summary'!$Q$29</f>
        <v>-5.6491630622022566E-2</v>
      </c>
      <c r="DR58" s="1116">
        <f>(DR57-Waterfall!$F$30)/'Cash Flows &amp; Summary'!$Q$29</f>
        <v>2.0023333569615713E-2</v>
      </c>
      <c r="DS58" s="1116">
        <f>(DS57-Waterfall!$F$30)/'Cash Flows &amp; Summary'!$Q$29</f>
        <v>-5.5852375437554017E-2</v>
      </c>
      <c r="DT58" s="1116">
        <f>(DT57-Waterfall!$F$30)/'Cash Flows &amp; Summary'!$Q$29</f>
        <v>-5.5852375437554017E-2</v>
      </c>
      <c r="DU58" s="1116">
        <f>(DU57-Waterfall!$F$30)/'Cash Flows &amp; Summary'!$Q$29</f>
        <v>-5.5852375437554017E-2</v>
      </c>
      <c r="DV58" s="1116">
        <f>(DV57-Waterfall!$F$30)/'Cash Flows &amp; Summary'!$Q$29</f>
        <v>-5.5852375437554017E-2</v>
      </c>
      <c r="DW58" s="1116">
        <f>(DW57-Waterfall!$F$30)/'Cash Flows &amp; Summary'!$Q$29</f>
        <v>-5.5852375437554017E-2</v>
      </c>
      <c r="DX58" s="1116">
        <f>(DX57-Waterfall!$F$30)/'Cash Flows &amp; Summary'!$Q$29</f>
        <v>-5.5852375437554017E-2</v>
      </c>
      <c r="DY58" s="1116">
        <f>(DY57-Waterfall!$F$30)/'Cash Flows &amp; Summary'!$Q$29</f>
        <v>-5.5852375437554017E-2</v>
      </c>
      <c r="DZ58" s="1116">
        <f>(DZ57-Waterfall!$F$30)/'Cash Flows &amp; Summary'!$Q$29</f>
        <v>-5.5852375437554017E-2</v>
      </c>
      <c r="EA58" s="1116">
        <f>(EA57-Waterfall!$F$30)/'Cash Flows &amp; Summary'!$Q$29</f>
        <v>-5.5852375437554017E-2</v>
      </c>
      <c r="EB58" s="1116">
        <f>(EB57-Waterfall!$F$30)/'Cash Flows &amp; Summary'!$Q$29</f>
        <v>-5.5852375437554017E-2</v>
      </c>
      <c r="EC58" s="1116">
        <f>(EC57-Waterfall!$F$30)/'Cash Flows &amp; Summary'!$Q$29</f>
        <v>-5.5852375437554017E-2</v>
      </c>
      <c r="ED58" s="1116">
        <f>(ED57-Waterfall!$F$30)/'Cash Flows &amp; Summary'!$Q$29</f>
        <v>-5.5852375437554017E-2</v>
      </c>
      <c r="EE58" s="1117">
        <f>(EE57-Waterfall!$F$30)/'Cash Flows &amp; Summary'!$Q$29</f>
        <v>2.7694395783238294E-2</v>
      </c>
      <c r="EF58" s="12"/>
      <c r="EG58" s="11"/>
      <c r="EH58" s="11"/>
      <c r="EI58" s="11"/>
    </row>
    <row r="59" spans="2:139">
      <c r="B59" s="161"/>
      <c r="D59" s="1099" t="s">
        <v>320</v>
      </c>
      <c r="E59" s="1099"/>
      <c r="F59" s="1109" t="str">
        <f>IFERROR(F36/(F43+F50+#REF!),"")</f>
        <v/>
      </c>
      <c r="G59" s="1109" t="str">
        <f>IFERROR(G36/(G43+G50+#REF!),"")</f>
        <v/>
      </c>
      <c r="H59" s="1109" t="str">
        <f>IFERROR(H36/(H43+H50+#REF!),"")</f>
        <v/>
      </c>
      <c r="I59" s="1109" t="str">
        <f>IFERROR(I36/(I43+I50+#REF!),"")</f>
        <v/>
      </c>
      <c r="J59" s="1109" t="str">
        <f>IFERROR(J36/(J43+J50+#REF!),"")</f>
        <v/>
      </c>
      <c r="K59" s="1109" t="str">
        <f>IFERROR(K36/(K43+K50+#REF!),"")</f>
        <v/>
      </c>
      <c r="L59" s="1109" t="str">
        <f>IFERROR(L36/(L43+L50+#REF!),"")</f>
        <v/>
      </c>
      <c r="M59" s="1109" t="str">
        <f>IFERROR(M36/(M43+M50+#REF!),"")</f>
        <v/>
      </c>
      <c r="N59" s="1109" t="str">
        <f>IFERROR(N36/(N43+N50+#REF!),"")</f>
        <v/>
      </c>
      <c r="O59" s="1109" t="str">
        <f>IFERROR(O36/(O43+O50+#REF!),"")</f>
        <v/>
      </c>
      <c r="P59" s="1109" t="str">
        <f>IFERROR(P36/(P43+P50+#REF!),"")</f>
        <v/>
      </c>
      <c r="Q59" s="1109" t="str">
        <f>IFERROR(Q36/(Q43+Q50+#REF!),"")</f>
        <v/>
      </c>
      <c r="R59" s="1109" t="str">
        <f>IFERROR(R36/(R43+R50+#REF!),"")</f>
        <v/>
      </c>
      <c r="S59" s="1109" t="str">
        <f>IFERROR(S36/(S43+S50+#REF!),"")</f>
        <v/>
      </c>
      <c r="T59" s="1109" t="str">
        <f>IFERROR(T36/(T43+T50+#REF!),"")</f>
        <v/>
      </c>
      <c r="U59" s="1109" t="str">
        <f>IFERROR(U36/(U43+U50+#REF!),"")</f>
        <v/>
      </c>
      <c r="V59" s="1109" t="str">
        <f>IFERROR(V36/(V43+V50+#REF!),"")</f>
        <v/>
      </c>
      <c r="W59" s="1109" t="str">
        <f>IFERROR(W36/(W43+W50+#REF!),"")</f>
        <v/>
      </c>
      <c r="X59" s="1109" t="str">
        <f>IFERROR(X36/(X43+X50+#REF!),"")</f>
        <v/>
      </c>
      <c r="Y59" s="1109" t="str">
        <f>IFERROR(Y36/(Y43+Y50+#REF!),"")</f>
        <v/>
      </c>
      <c r="Z59" s="1109" t="str">
        <f>IFERROR(Z36/(Z43+Z50+#REF!),"")</f>
        <v/>
      </c>
      <c r="AA59" s="1109" t="str">
        <f>IFERROR(AA36/(AA43+AA50+#REF!),"")</f>
        <v/>
      </c>
      <c r="AB59" s="1109" t="str">
        <f>IFERROR(AB36/(AB43+AB50+#REF!),"")</f>
        <v/>
      </c>
      <c r="AC59" s="1109" t="str">
        <f>IFERROR(AC36/(AC43+AC50+#REF!),"")</f>
        <v/>
      </c>
      <c r="AD59" s="1109" t="str">
        <f>IFERROR(AD36/(AD43+AD50+#REF!),"")</f>
        <v/>
      </c>
      <c r="AE59" s="1109" t="str">
        <f>IFERROR(AE36/(AE45+AE50+#REF!),"")</f>
        <v/>
      </c>
      <c r="AF59" s="1109" t="str">
        <f>IFERROR(AF36/(AF45+AF50+#REF!),"")</f>
        <v/>
      </c>
      <c r="AG59" s="1109" t="str">
        <f>IFERROR(AG36/(AG45+AG50+#REF!),"")</f>
        <v/>
      </c>
      <c r="AH59" s="1109" t="str">
        <f>IFERROR(AH36/(AH45+AH50+#REF!),"")</f>
        <v/>
      </c>
      <c r="AI59" s="1109" t="str">
        <f>IFERROR(AI36/(AI45+AI50+#REF!),"")</f>
        <v/>
      </c>
      <c r="AJ59" s="1109" t="str">
        <f>IFERROR(AJ36/(AJ45+AJ50+#REF!),"")</f>
        <v/>
      </c>
      <c r="AK59" s="1109" t="str">
        <f>IFERROR(AK36/(AK45+AK50+#REF!),"")</f>
        <v/>
      </c>
      <c r="AL59" s="1109" t="str">
        <f>IFERROR(AL36/(AL45+AL50+#REF!),"")</f>
        <v/>
      </c>
      <c r="AM59" s="1109" t="str">
        <f>IFERROR(AM36/(AM45+AM50+#REF!),"")</f>
        <v/>
      </c>
      <c r="AN59" s="1109" t="str">
        <f>IFERROR(AN36/(AN45+AN50+#REF!),"")</f>
        <v/>
      </c>
      <c r="AO59" s="1109" t="str">
        <f>IFERROR(AO36/(AO45+AO50+#REF!),"")</f>
        <v/>
      </c>
      <c r="AP59" s="1109" t="str">
        <f>IFERROR(AP36/(AP45+AP50+#REF!),"")</f>
        <v/>
      </c>
      <c r="AQ59" s="1109" t="str">
        <f>IFERROR(AQ36/(AQ45+AQ50+#REF!),"")</f>
        <v/>
      </c>
      <c r="AR59" s="1109" t="str">
        <f>IFERROR(AR36/(AR45+AR50+#REF!),"")</f>
        <v/>
      </c>
      <c r="AS59" s="1109" t="str">
        <f>IFERROR(AS36/(AS45+AS50+#REF!),"")</f>
        <v/>
      </c>
      <c r="AT59" s="1109" t="str">
        <f>IFERROR(AT36/(AT45+AT50+#REF!),"")</f>
        <v/>
      </c>
      <c r="AU59" s="1109" t="str">
        <f>IFERROR(AU36/(AU45+AU50+#REF!),"")</f>
        <v/>
      </c>
      <c r="AV59" s="1109" t="str">
        <f>IFERROR(AV36/(AV45+AV50+#REF!),"")</f>
        <v/>
      </c>
      <c r="AW59" s="1109" t="str">
        <f>IFERROR(AW36/(AW45+AW50+#REF!),"")</f>
        <v/>
      </c>
      <c r="AX59" s="1109" t="str">
        <f>IFERROR(AX36/(AX45+AX50+#REF!),"")</f>
        <v/>
      </c>
      <c r="AY59" s="1109" t="str">
        <f>IFERROR(AY36/(AY45+AY50+#REF!),"")</f>
        <v/>
      </c>
      <c r="AZ59" s="1109" t="str">
        <f>IFERROR(AZ36/(AZ45+AZ50+#REF!),"")</f>
        <v/>
      </c>
      <c r="BA59" s="1109" t="str">
        <f>IFERROR(BA36/(BA45+BA50+#REF!),"")</f>
        <v/>
      </c>
      <c r="BB59" s="1109" t="str">
        <f>IFERROR(BB36/(BB45+BB50+#REF!),"")</f>
        <v/>
      </c>
      <c r="BC59" s="1109" t="str">
        <f>IFERROR(BC36/(BC45+BC50+#REF!),"")</f>
        <v/>
      </c>
      <c r="BD59" s="1109" t="str">
        <f>IFERROR(BD36/(BD45+BD50+#REF!),"")</f>
        <v/>
      </c>
      <c r="BE59" s="1109" t="str">
        <f>IFERROR(BE36/(BE45+BE50+#REF!),"")</f>
        <v/>
      </c>
      <c r="BF59" s="1109" t="str">
        <f>IFERROR(BF36/(BF45+BF50+#REF!),"")</f>
        <v/>
      </c>
      <c r="BG59" s="1109" t="str">
        <f>IFERROR(BG36/(BG45+BG50+#REF!),"")</f>
        <v/>
      </c>
      <c r="BH59" s="1109" t="str">
        <f>IFERROR(BH36/(BH45+BH50+#REF!),"")</f>
        <v/>
      </c>
      <c r="BI59" s="1109" t="str">
        <f>IFERROR(BI36/(BI45+BI50+#REF!),"")</f>
        <v/>
      </c>
      <c r="BJ59" s="1109" t="str">
        <f>IFERROR(BJ36/(BJ45+BJ50+#REF!),"")</f>
        <v/>
      </c>
      <c r="BK59" s="1109" t="str">
        <f>IFERROR(BK36/(BK45+BK50+#REF!),"")</f>
        <v/>
      </c>
      <c r="BL59" s="1109" t="str">
        <f>IFERROR(BL36/(BL45+BL50+#REF!),"")</f>
        <v/>
      </c>
      <c r="BM59" s="1109" t="str">
        <f>IFERROR(BM36/(BM45+BM50+#REF!),"")</f>
        <v/>
      </c>
      <c r="BN59" s="1109" t="str">
        <f>IFERROR(BN36/(BN45+BN50+#REF!),"")</f>
        <v/>
      </c>
      <c r="BO59" s="1109" t="str">
        <f>IFERROR(BO36/(BO45+BO50+#REF!),"")</f>
        <v/>
      </c>
      <c r="BP59" s="1109" t="str">
        <f>IFERROR(BP36/(BP45+BP50+#REF!),"")</f>
        <v/>
      </c>
      <c r="BQ59" s="1109" t="str">
        <f>IFERROR(BQ36/(BQ45+BQ50+#REF!),"")</f>
        <v/>
      </c>
      <c r="BR59" s="1109" t="str">
        <f>IFERROR(BR36/(BR45+BR50+#REF!),"")</f>
        <v/>
      </c>
      <c r="BS59" s="1109" t="str">
        <f>IFERROR(BS36/(BS45+BS50+#REF!),"")</f>
        <v/>
      </c>
      <c r="BT59" s="1109" t="str">
        <f>IFERROR(BT36/(BT45+BT50+#REF!),"")</f>
        <v/>
      </c>
      <c r="BU59" s="1109" t="str">
        <f>IFERROR(BU36/(BU45+BU50+#REF!),"")</f>
        <v/>
      </c>
      <c r="BV59" s="1109" t="str">
        <f>IFERROR(BV36/(BV45+BV50+#REF!),"")</f>
        <v/>
      </c>
      <c r="BW59" s="1109" t="str">
        <f>IFERROR(BW36/(BW45+BW50+#REF!),"")</f>
        <v/>
      </c>
      <c r="BX59" s="1109" t="str">
        <f>IFERROR(BX36/(BX45+BX50+#REF!),"")</f>
        <v/>
      </c>
      <c r="BY59" s="1109" t="str">
        <f>IFERROR(BY36/(BY45+BY50+#REF!),"")</f>
        <v/>
      </c>
      <c r="BZ59" s="1109" t="str">
        <f>IFERROR(BZ36/(BZ45+BZ50+#REF!),"")</f>
        <v/>
      </c>
      <c r="CA59" s="1109" t="str">
        <f>IFERROR(CA36/(CA45+CA50+#REF!),"")</f>
        <v/>
      </c>
      <c r="CB59" s="1109" t="str">
        <f>IFERROR(CB36/(CB45+CB50+#REF!),"")</f>
        <v/>
      </c>
      <c r="CC59" s="1109" t="str">
        <f>IFERROR(CC36/(CC45+CC50+#REF!),"")</f>
        <v/>
      </c>
      <c r="CD59" s="1109" t="str">
        <f>IFERROR(CD36/(CD45+CD50+#REF!),"")</f>
        <v/>
      </c>
      <c r="CE59" s="1109" t="str">
        <f>IFERROR(CE36/(CE45+CE50+#REF!),"")</f>
        <v/>
      </c>
      <c r="CF59" s="1109" t="str">
        <f>IFERROR(CF36/(CF45+CF50+#REF!),"")</f>
        <v/>
      </c>
      <c r="CG59" s="1109" t="str">
        <f>IFERROR(CG36/(CG45+CG50+#REF!),"")</f>
        <v/>
      </c>
      <c r="CH59" s="1109" t="str">
        <f>IFERROR(CH36/(CH45+CH50+#REF!),"")</f>
        <v/>
      </c>
      <c r="CI59" s="1109" t="str">
        <f>IFERROR(CI36/(CI45+CI50+#REF!),"")</f>
        <v/>
      </c>
      <c r="CJ59" s="1109" t="str">
        <f>IFERROR(CJ36/(CJ45+CJ50+#REF!),"")</f>
        <v/>
      </c>
      <c r="CK59" s="1109" t="str">
        <f>IFERROR(CK36/(CK45+CK50+#REF!),"")</f>
        <v/>
      </c>
      <c r="CL59" s="1109" t="str">
        <f>IFERROR(CL36/(CL45+CL50+#REF!),"")</f>
        <v/>
      </c>
      <c r="CM59" s="1109" t="str">
        <f>IFERROR(CM36/(CM45+CM50+#REF!),"")</f>
        <v/>
      </c>
      <c r="CN59" s="1109" t="str">
        <f>IFERROR(CN36/(CN45+CN50+#REF!),"")</f>
        <v/>
      </c>
      <c r="CO59" s="1109" t="str">
        <f>IFERROR(CO36/(CO45+CO50+#REF!),"")</f>
        <v/>
      </c>
      <c r="CP59" s="1109" t="str">
        <f>IFERROR(CP36/(CP45+CP50+#REF!),"")</f>
        <v/>
      </c>
      <c r="CQ59" s="1109" t="str">
        <f>IFERROR(CQ36/(CQ45+CQ50+#REF!),"")</f>
        <v/>
      </c>
      <c r="CR59" s="1109" t="str">
        <f>IFERROR(CR36/(CR45+CR50+#REF!),"")</f>
        <v/>
      </c>
      <c r="CS59" s="1109" t="str">
        <f>IFERROR(CS36/(CS45+CS50+#REF!),"")</f>
        <v/>
      </c>
      <c r="CT59" s="1109" t="str">
        <f>IFERROR(CT36/(CT45+CT50+#REF!),"")</f>
        <v/>
      </c>
      <c r="CU59" s="1109" t="str">
        <f>IFERROR(CU36/(CU45+CU50+#REF!),"")</f>
        <v/>
      </c>
      <c r="CV59" s="1109" t="str">
        <f>IFERROR(CV36/(CV45+CV50+#REF!),"")</f>
        <v/>
      </c>
      <c r="CW59" s="1109" t="str">
        <f>IFERROR(CW36/(CW45+CW50+#REF!),"")</f>
        <v/>
      </c>
      <c r="CX59" s="1109" t="str">
        <f>IFERROR(CX36/(CX45+CX50+#REF!),"")</f>
        <v/>
      </c>
      <c r="CY59" s="1109" t="str">
        <f>IFERROR(CY36/(CY45+CY50+#REF!),"")</f>
        <v/>
      </c>
      <c r="CZ59" s="1109" t="str">
        <f>IFERROR(CZ36/(CZ45+CZ50+#REF!),"")</f>
        <v/>
      </c>
      <c r="DA59" s="1109" t="str">
        <f>IFERROR(DA36/(DA45+DA50+#REF!),"")</f>
        <v/>
      </c>
      <c r="DB59" s="1109" t="str">
        <f>IFERROR(DB36/(DB45+DB50+#REF!),"")</f>
        <v/>
      </c>
      <c r="DC59" s="1109" t="str">
        <f>IFERROR(DC36/(DC45+DC50+#REF!),"")</f>
        <v/>
      </c>
      <c r="DD59" s="1109" t="str">
        <f>IFERROR(DD36/(DD45+DD50+#REF!),"")</f>
        <v/>
      </c>
      <c r="DE59" s="1109" t="str">
        <f>IFERROR(DE36/(DE45+DE50+#REF!),"")</f>
        <v/>
      </c>
      <c r="DF59" s="1109" t="str">
        <f>IFERROR(DF36/(DF45+DF50+#REF!),"")</f>
        <v/>
      </c>
      <c r="DG59" s="1109" t="str">
        <f>IFERROR(DG36/(DG45+DG50+#REF!),"")</f>
        <v/>
      </c>
      <c r="DH59" s="1109" t="str">
        <f>IFERROR(DH36/(DH45+DH50+#REF!),"")</f>
        <v/>
      </c>
      <c r="DI59" s="1109" t="str">
        <f>IFERROR(DI36/(DI45+DI50+#REF!),"")</f>
        <v/>
      </c>
      <c r="DJ59" s="1109" t="str">
        <f>IFERROR(DJ36/(DJ45+DJ50+#REF!),"")</f>
        <v/>
      </c>
      <c r="DK59" s="1109" t="str">
        <f>IFERROR(DK36/(DK45+DK50+#REF!),"")</f>
        <v/>
      </c>
      <c r="DL59" s="1109" t="str">
        <f>IFERROR(DL36/(DL45+DL50+#REF!),"")</f>
        <v/>
      </c>
      <c r="DM59" s="1109" t="str">
        <f>IFERROR(DM36/(DM45+DM50+#REF!),"")</f>
        <v/>
      </c>
      <c r="DN59" s="1109" t="str">
        <f>IFERROR(DN36/(DN45+DN50+#REF!),"")</f>
        <v/>
      </c>
      <c r="DO59" s="1109" t="str">
        <f>IFERROR(DO36/(DO45+DO50+#REF!),"")</f>
        <v/>
      </c>
      <c r="DP59" s="1109" t="str">
        <f>IFERROR(DP36/(DP45+DP50+#REF!),"")</f>
        <v/>
      </c>
      <c r="DQ59" s="1109" t="str">
        <f>IFERROR(DQ36/(DQ45+DQ50+#REF!),"")</f>
        <v/>
      </c>
      <c r="DR59" s="1109" t="str">
        <f>IFERROR(DR36/(DR45+DR50+#REF!),"")</f>
        <v/>
      </c>
      <c r="DS59" s="1109" t="str">
        <f>IFERROR(DS36/(DS45+DS50+#REF!),"")</f>
        <v/>
      </c>
      <c r="DT59" s="1109" t="str">
        <f>IFERROR(DT36/(DT45+DT50+#REF!),"")</f>
        <v/>
      </c>
      <c r="DU59" s="1109" t="str">
        <f>IFERROR(DU36/(DU45+DU50+#REF!),"")</f>
        <v/>
      </c>
      <c r="DV59" s="1109" t="str">
        <f>IFERROR(DV36/(DV45+DV50+#REF!),"")</f>
        <v/>
      </c>
      <c r="DW59" s="1109" t="str">
        <f>IFERROR(DW36/(DW45+DW50+#REF!),"")</f>
        <v/>
      </c>
      <c r="DX59" s="1109" t="str">
        <f>IFERROR(DX36/(DX45+DX50+#REF!),"")</f>
        <v/>
      </c>
      <c r="DY59" s="1109" t="str">
        <f>IFERROR(DY36/(DY45+DY50+#REF!),"")</f>
        <v/>
      </c>
      <c r="DZ59" s="1109" t="str">
        <f>IFERROR(DZ36/(DZ45+DZ50+#REF!),"")</f>
        <v/>
      </c>
      <c r="EA59" s="1109" t="str">
        <f>IFERROR(EA36/(EA45+EA50+#REF!),"")</f>
        <v/>
      </c>
      <c r="EB59" s="1109" t="str">
        <f>IFERROR(EB36/(EB45+EB50+#REF!),"")</f>
        <v/>
      </c>
      <c r="EC59" s="1109" t="str">
        <f>IFERROR(EC36/(EC45+EC50+#REF!),"")</f>
        <v/>
      </c>
      <c r="ED59" s="1109" t="str">
        <f>IFERROR(ED36/(ED45+ED50+#REF!),"")</f>
        <v/>
      </c>
      <c r="EE59" s="771" t="str">
        <f>IFERROR(EE36/(EE45+EE50+#REF!),"")</f>
        <v/>
      </c>
      <c r="EF59" s="11"/>
      <c r="EG59" s="11"/>
      <c r="EH59" s="11"/>
      <c r="EI59" s="11"/>
    </row>
    <row r="60" spans="2:139">
      <c r="B60" s="187"/>
      <c r="C60" s="1056"/>
      <c r="D60" s="1110" t="s">
        <v>321</v>
      </c>
      <c r="E60" s="1110"/>
      <c r="F60" s="157" t="str">
        <f>IFERROR((F36*12)/(F46+F51+#REF!),"")</f>
        <v/>
      </c>
      <c r="G60" s="157" t="str">
        <f>IFERROR((G36*12)/(G46+G51+#REF!),"")</f>
        <v/>
      </c>
      <c r="H60" s="157" t="str">
        <f>IFERROR((H36*12)/(H46+H51+#REF!),"")</f>
        <v/>
      </c>
      <c r="I60" s="157" t="str">
        <f>IFERROR((I36*12)/(I46+I51+#REF!),"")</f>
        <v/>
      </c>
      <c r="J60" s="157" t="str">
        <f>IFERROR((J36*12)/(J46+J51+#REF!),"")</f>
        <v/>
      </c>
      <c r="K60" s="157" t="str">
        <f>IFERROR((K36*12)/(K46+K51+#REF!),"")</f>
        <v/>
      </c>
      <c r="L60" s="157" t="str">
        <f>IFERROR((L36*12)/(L46+L51+#REF!),"")</f>
        <v/>
      </c>
      <c r="M60" s="157" t="str">
        <f>IFERROR((M36*12)/(M46+M51+#REF!),"")</f>
        <v/>
      </c>
      <c r="N60" s="157" t="str">
        <f>IFERROR((N36*12)/(N46+N51+#REF!),"")</f>
        <v/>
      </c>
      <c r="O60" s="157" t="str">
        <f>IFERROR((O36*12)/(O46+O51+#REF!),"")</f>
        <v/>
      </c>
      <c r="P60" s="157" t="str">
        <f>IFERROR((P36*12)/(P46+P51+#REF!),"")</f>
        <v/>
      </c>
      <c r="Q60" s="157" t="str">
        <f>IFERROR((Q36*12)/(Q46+Q51+#REF!),"")</f>
        <v/>
      </c>
      <c r="R60" s="157" t="str">
        <f>IFERROR((R36)/(R46+R51+#REF!),"")</f>
        <v/>
      </c>
      <c r="S60" s="157" t="str">
        <f>IFERROR((S36*12)/(S46+S51+#REF!),"")</f>
        <v/>
      </c>
      <c r="T60" s="157" t="str">
        <f>IFERROR((T36*12)/(T46+T51+#REF!),"")</f>
        <v/>
      </c>
      <c r="U60" s="157" t="str">
        <f>IFERROR((U36*12)/(U46+U51+#REF!),"")</f>
        <v/>
      </c>
      <c r="V60" s="157" t="str">
        <f>IFERROR((V36*12)/(V46+V51+#REF!),"")</f>
        <v/>
      </c>
      <c r="W60" s="157" t="str">
        <f>IFERROR((W36*12)/(W46+W51+#REF!),"")</f>
        <v/>
      </c>
      <c r="X60" s="157" t="str">
        <f>IFERROR((X36*12)/(X46+X51+#REF!),"")</f>
        <v/>
      </c>
      <c r="Y60" s="157" t="str">
        <f>IFERROR((Y36*12)/(Y46+Y51+#REF!),"")</f>
        <v/>
      </c>
      <c r="Z60" s="157" t="str">
        <f>IFERROR((Z36*12)/(Z46+Z51+#REF!),"")</f>
        <v/>
      </c>
      <c r="AA60" s="157" t="str">
        <f>IFERROR((AA36*12)/(AA46+AA51+#REF!),"")</f>
        <v/>
      </c>
      <c r="AB60" s="157" t="str">
        <f>IFERROR((AB36*12)/(AB46+AB51+#REF!),"")</f>
        <v/>
      </c>
      <c r="AC60" s="157" t="str">
        <f>IFERROR((AC36*12)/(AC46+AC51+#REF!),"")</f>
        <v/>
      </c>
      <c r="AD60" s="157" t="str">
        <f>IFERROR((AD36*12)/(AD46+AD51+#REF!),"")</f>
        <v/>
      </c>
      <c r="AE60" s="332">
        <f t="shared" ref="AE60:BJ60" si="571">IFERROR(AE36/(AE43+AE48),0)</f>
        <v>3.1677122327320908</v>
      </c>
      <c r="AF60" s="332">
        <f t="shared" si="571"/>
        <v>4.0033567786418489</v>
      </c>
      <c r="AG60" s="332">
        <f t="shared" si="571"/>
        <v>4.0099555858848435</v>
      </c>
      <c r="AH60" s="332">
        <f t="shared" si="571"/>
        <v>4.0165977354984657</v>
      </c>
      <c r="AI60" s="332">
        <f t="shared" si="571"/>
        <v>4.0232836206011875</v>
      </c>
      <c r="AJ60" s="332">
        <f t="shared" si="571"/>
        <v>4.0300136390420747</v>
      </c>
      <c r="AK60" s="332">
        <f t="shared" si="571"/>
        <v>4.0367881934722325</v>
      </c>
      <c r="AL60" s="332">
        <f t="shared" si="571"/>
        <v>4.0436076914175407</v>
      </c>
      <c r="AM60" s="332">
        <f t="shared" si="571"/>
        <v>4.0504725453527257</v>
      </c>
      <c r="AN60" s="332">
        <f t="shared" si="571"/>
        <v>4.0573831727767775</v>
      </c>
      <c r="AO60" s="332">
        <f t="shared" si="571"/>
        <v>4.0643399962897613</v>
      </c>
      <c r="AP60" s="332">
        <f t="shared" si="571"/>
        <v>4.0713434436710365</v>
      </c>
      <c r="AQ60" s="332">
        <f t="shared" si="571"/>
        <v>4.0783939479589133</v>
      </c>
      <c r="AR60" s="332">
        <f t="shared" si="571"/>
        <v>4.0403241478790344</v>
      </c>
      <c r="AS60" s="332">
        <f t="shared" si="571"/>
        <v>1.5846153846153852</v>
      </c>
      <c r="AT60" s="332">
        <f t="shared" si="571"/>
        <v>1.5846153846153852</v>
      </c>
      <c r="AU60" s="332">
        <f t="shared" si="571"/>
        <v>1.5846153846153852</v>
      </c>
      <c r="AV60" s="332">
        <f t="shared" si="571"/>
        <v>1.5846153846153852</v>
      </c>
      <c r="AW60" s="332">
        <f t="shared" si="571"/>
        <v>1.5846153846153852</v>
      </c>
      <c r="AX60" s="332">
        <f t="shared" si="571"/>
        <v>1.5846153846153852</v>
      </c>
      <c r="AY60" s="332">
        <f t="shared" si="571"/>
        <v>1.5846153846153852</v>
      </c>
      <c r="AZ60" s="332">
        <f t="shared" si="571"/>
        <v>1.5846153846153852</v>
      </c>
      <c r="BA60" s="332">
        <f t="shared" si="571"/>
        <v>1.5846153846153852</v>
      </c>
      <c r="BB60" s="332">
        <f t="shared" si="571"/>
        <v>1.5846153846153852</v>
      </c>
      <c r="BC60" s="332">
        <f t="shared" si="571"/>
        <v>1.5846153846153852</v>
      </c>
      <c r="BD60" s="332">
        <f t="shared" si="571"/>
        <v>1.5846153846153852</v>
      </c>
      <c r="BE60" s="332">
        <f t="shared" si="571"/>
        <v>1.5846153846153845</v>
      </c>
      <c r="BF60" s="332">
        <f t="shared" si="571"/>
        <v>1.6321538461538467</v>
      </c>
      <c r="BG60" s="332">
        <f t="shared" si="571"/>
        <v>1.6321538461538467</v>
      </c>
      <c r="BH60" s="332">
        <f t="shared" si="571"/>
        <v>1.6321538461538467</v>
      </c>
      <c r="BI60" s="332">
        <f t="shared" si="571"/>
        <v>1.6321538461538467</v>
      </c>
      <c r="BJ60" s="332">
        <f t="shared" si="571"/>
        <v>1.6321538461538467</v>
      </c>
      <c r="BK60" s="332">
        <f t="shared" ref="BK60:CP60" si="572">IFERROR(BK36/(BK43+BK48),0)</f>
        <v>1.6321538461538467</v>
      </c>
      <c r="BL60" s="332">
        <f t="shared" si="572"/>
        <v>1.6321538461538467</v>
      </c>
      <c r="BM60" s="332">
        <f t="shared" si="572"/>
        <v>1.6321538461538467</v>
      </c>
      <c r="BN60" s="332">
        <f t="shared" si="572"/>
        <v>1.6321538461538467</v>
      </c>
      <c r="BO60" s="332">
        <f t="shared" si="572"/>
        <v>1.6321538461538467</v>
      </c>
      <c r="BP60" s="332">
        <f t="shared" si="572"/>
        <v>1.6321538461538467</v>
      </c>
      <c r="BQ60" s="332">
        <f t="shared" si="572"/>
        <v>1.6321538461538467</v>
      </c>
      <c r="BR60" s="332">
        <f t="shared" si="572"/>
        <v>1.6321538461538461</v>
      </c>
      <c r="BS60" s="332">
        <f t="shared" si="572"/>
        <v>1.6811184615384618</v>
      </c>
      <c r="BT60" s="332">
        <f t="shared" si="572"/>
        <v>1.682793691495583</v>
      </c>
      <c r="BU60" s="332">
        <f t="shared" si="572"/>
        <v>1.6844806647809729</v>
      </c>
      <c r="BV60" s="332">
        <f t="shared" si="572"/>
        <v>1.6861794841057824</v>
      </c>
      <c r="BW60" s="332">
        <f t="shared" si="572"/>
        <v>1.6878902533319728</v>
      </c>
      <c r="BX60" s="332">
        <f t="shared" si="572"/>
        <v>1.6896130774884786</v>
      </c>
      <c r="BY60" s="332">
        <f t="shared" si="572"/>
        <v>1.6913480627876396</v>
      </c>
      <c r="BZ60" s="332">
        <f t="shared" si="572"/>
        <v>1.693095316641914</v>
      </c>
      <c r="CA60" s="332">
        <f t="shared" si="572"/>
        <v>1.6948549476808767</v>
      </c>
      <c r="CB60" s="332">
        <f t="shared" si="572"/>
        <v>1.6966270657685067</v>
      </c>
      <c r="CC60" s="332">
        <f t="shared" si="572"/>
        <v>1.698411782020772</v>
      </c>
      <c r="CD60" s="332">
        <f t="shared" si="572"/>
        <v>1.7002092088235172</v>
      </c>
      <c r="CE60" s="332">
        <f t="shared" si="572"/>
        <v>1.690530606333829</v>
      </c>
      <c r="CF60" s="332">
        <f t="shared" si="572"/>
        <v>1.7530800436461766</v>
      </c>
      <c r="CG60" s="332">
        <f t="shared" si="572"/>
        <v>1.7549579295851667</v>
      </c>
      <c r="CH60" s="332">
        <f t="shared" si="572"/>
        <v>1.7568492627002767</v>
      </c>
      <c r="CI60" s="332">
        <f t="shared" si="572"/>
        <v>1.7587541641714963</v>
      </c>
      <c r="CJ60" s="332">
        <f t="shared" si="572"/>
        <v>1.7606727565837978</v>
      </c>
      <c r="CK60" s="332">
        <f t="shared" si="572"/>
        <v>1.7626051639475653</v>
      </c>
      <c r="CL60" s="332">
        <f t="shared" si="572"/>
        <v>1.7645515117193775</v>
      </c>
      <c r="CM60" s="332">
        <f t="shared" si="572"/>
        <v>1.7665119268231642</v>
      </c>
      <c r="CN60" s="332">
        <f t="shared" si="572"/>
        <v>1.7684865376717289</v>
      </c>
      <c r="CO60" s="332">
        <f t="shared" si="572"/>
        <v>1.7704754741886544</v>
      </c>
      <c r="CP60" s="332">
        <f t="shared" si="572"/>
        <v>1.772478867830598</v>
      </c>
      <c r="CQ60" s="332">
        <f t="shared" ref="CQ60:DV60" si="573">IFERROR(CQ36/(CQ43+CQ48),0)</f>
        <v>1.7744968516099855</v>
      </c>
      <c r="CR60" s="332">
        <f t="shared" si="573"/>
        <v>1.763634432135456</v>
      </c>
      <c r="CS60" s="332">
        <f t="shared" si="573"/>
        <v>1.8298254469216477</v>
      </c>
      <c r="CT60" s="332">
        <f t="shared" si="573"/>
        <v>1.8319344434350759</v>
      </c>
      <c r="CU60" s="332">
        <f t="shared" si="573"/>
        <v>1.8340588886531362</v>
      </c>
      <c r="CV60" s="332">
        <f t="shared" si="573"/>
        <v>1.8361989262305884</v>
      </c>
      <c r="CW60" s="332">
        <f t="shared" si="573"/>
        <v>1.8383547015479293</v>
      </c>
      <c r="CX60" s="332">
        <f t="shared" si="573"/>
        <v>1.8405263617374072</v>
      </c>
      <c r="CY60" s="332">
        <f t="shared" si="573"/>
        <v>1.8427140557095043</v>
      </c>
      <c r="CZ60" s="332">
        <f t="shared" si="573"/>
        <v>1.8449179341799042</v>
      </c>
      <c r="DA60" s="332">
        <f t="shared" si="573"/>
        <v>1.8471381496969537</v>
      </c>
      <c r="DB60" s="332">
        <f t="shared" si="573"/>
        <v>1.8493748566696251</v>
      </c>
      <c r="DC60" s="332">
        <f t="shared" si="573"/>
        <v>1.8516282113959974</v>
      </c>
      <c r="DD60" s="332">
        <f t="shared" si="573"/>
        <v>1.8538983720922568</v>
      </c>
      <c r="DE60" s="332">
        <f t="shared" si="573"/>
        <v>1.8416832127492007</v>
      </c>
      <c r="DF60" s="332">
        <f t="shared" si="573"/>
        <v>1.9118710638899092</v>
      </c>
      <c r="DG60" s="332">
        <f t="shared" si="573"/>
        <v>1.9142444466483619</v>
      </c>
      <c r="DH60" s="332">
        <f t="shared" si="573"/>
        <v>1.9166356406048539</v>
      </c>
      <c r="DI60" s="332">
        <f t="shared" si="573"/>
        <v>1.9190448169346628</v>
      </c>
      <c r="DJ60" s="332">
        <f t="shared" si="573"/>
        <v>1.9214721489466358</v>
      </c>
      <c r="DK60" s="332">
        <f t="shared" si="573"/>
        <v>1.9239178121165665</v>
      </c>
      <c r="DL60" s="332">
        <f t="shared" si="573"/>
        <v>1.9263819841212075</v>
      </c>
      <c r="DM60" s="332">
        <f t="shared" si="573"/>
        <v>1.9288648448729226</v>
      </c>
      <c r="DN60" s="332">
        <f t="shared" si="573"/>
        <v>1.9313665765549972</v>
      </c>
      <c r="DO60" s="332">
        <f t="shared" si="573"/>
        <v>1.9338873636576221</v>
      </c>
      <c r="DP60" s="332">
        <f t="shared" si="573"/>
        <v>1.9364273930145648</v>
      </c>
      <c r="DQ60" s="332">
        <f t="shared" si="573"/>
        <v>1.9389868538405448</v>
      </c>
      <c r="DR60" s="332">
        <f t="shared" si="573"/>
        <v>1.9252208079826831</v>
      </c>
      <c r="DS60" s="332">
        <f t="shared" si="573"/>
        <v>1.9998129159024038</v>
      </c>
      <c r="DT60" s="332">
        <f t="shared" si="573"/>
        <v>2.0024897840593123</v>
      </c>
      <c r="DU60" s="332">
        <f t="shared" si="573"/>
        <v>2.0051872664132429</v>
      </c>
      <c r="DV60" s="332">
        <f t="shared" si="573"/>
        <v>2.0079055680648854</v>
      </c>
      <c r="DW60" s="332">
        <f t="shared" ref="DW60:EE60" si="574">IFERROR(DW36/(DW43+DW48),0)</f>
        <v>2.0106448967712276</v>
      </c>
      <c r="DX60" s="332">
        <f t="shared" si="574"/>
        <v>2.0134054629887541</v>
      </c>
      <c r="DY60" s="332">
        <f t="shared" si="574"/>
        <v>2.0161874799174861</v>
      </c>
      <c r="DZ60" s="332">
        <f t="shared" si="574"/>
        <v>2.0189911635458926</v>
      </c>
      <c r="EA60" s="332">
        <f t="shared" si="574"/>
        <v>2.0218167326966832</v>
      </c>
      <c r="EB60" s="332">
        <f t="shared" si="574"/>
        <v>2.024664409073512</v>
      </c>
      <c r="EC60" s="332">
        <f t="shared" si="574"/>
        <v>2.0275344173086083</v>
      </c>
      <c r="ED60" s="332">
        <f t="shared" si="574"/>
        <v>2.0304269850113528</v>
      </c>
      <c r="EE60" s="772">
        <f t="shared" si="574"/>
        <v>2.0148764578549478</v>
      </c>
      <c r="EF60" s="11"/>
      <c r="EG60" s="11"/>
      <c r="EH60" s="11"/>
      <c r="EI60" s="11"/>
    </row>
    <row r="61" spans="2:139">
      <c r="B61" s="187"/>
      <c r="C61" s="1056"/>
      <c r="D61" s="1110" t="s">
        <v>125</v>
      </c>
      <c r="E61" s="1110"/>
      <c r="F61" s="157"/>
      <c r="G61" s="157"/>
      <c r="H61" s="157"/>
      <c r="I61" s="157"/>
      <c r="J61" s="157"/>
      <c r="K61" s="157"/>
      <c r="L61" s="157"/>
      <c r="M61" s="157"/>
      <c r="N61" s="157"/>
      <c r="O61" s="157"/>
      <c r="P61" s="157"/>
      <c r="Q61" s="157"/>
      <c r="R61" s="370"/>
      <c r="S61" s="370"/>
      <c r="T61" s="370"/>
      <c r="U61" s="370"/>
      <c r="V61" s="370"/>
      <c r="W61" s="370"/>
      <c r="X61" s="370">
        <f t="shared" ref="X61:AD61" si="575">(X32+X45)/X6</f>
        <v>0.6076792996074819</v>
      </c>
      <c r="Y61" s="370">
        <f t="shared" si="575"/>
        <v>0.6076792996074819</v>
      </c>
      <c r="Z61" s="370">
        <f t="shared" si="575"/>
        <v>0.6076792996074819</v>
      </c>
      <c r="AA61" s="370">
        <f t="shared" si="575"/>
        <v>0.6076792996074819</v>
      </c>
      <c r="AB61" s="370">
        <f t="shared" si="575"/>
        <v>0.6076792996074819</v>
      </c>
      <c r="AC61" s="370">
        <f t="shared" si="575"/>
        <v>0.6076792996074819</v>
      </c>
      <c r="AD61" s="370">
        <f t="shared" si="575"/>
        <v>0.6076792996074819</v>
      </c>
      <c r="AE61" s="370">
        <f>(AE32+AE45+AE50)/AE6</f>
        <v>0.60767929960748202</v>
      </c>
      <c r="AF61" s="370">
        <f t="shared" ref="AF61:BK61" si="576">((AF32+AF45+AF50+(30000-AF28))/AF6)</f>
        <v>0.64097211878172133</v>
      </c>
      <c r="AG61" s="370">
        <f t="shared" si="576"/>
        <v>0.64097211878172133</v>
      </c>
      <c r="AH61" s="370">
        <f t="shared" si="576"/>
        <v>0.64097211878172133</v>
      </c>
      <c r="AI61" s="370">
        <f t="shared" si="576"/>
        <v>0.64097211878172133</v>
      </c>
      <c r="AJ61" s="370">
        <f t="shared" si="576"/>
        <v>0.64097211878172133</v>
      </c>
      <c r="AK61" s="370">
        <f t="shared" si="576"/>
        <v>0.64097211878172133</v>
      </c>
      <c r="AL61" s="370">
        <f t="shared" si="576"/>
        <v>0.64097211878172133</v>
      </c>
      <c r="AM61" s="370">
        <f t="shared" si="576"/>
        <v>0.64097211878172133</v>
      </c>
      <c r="AN61" s="370">
        <f t="shared" si="576"/>
        <v>0.64097211878172133</v>
      </c>
      <c r="AO61" s="370">
        <f t="shared" si="576"/>
        <v>0.64097211878172133</v>
      </c>
      <c r="AP61" s="370">
        <f t="shared" si="576"/>
        <v>0.64097211878172133</v>
      </c>
      <c r="AQ61" s="370">
        <f t="shared" si="576"/>
        <v>0.64097211878172133</v>
      </c>
      <c r="AR61" s="370">
        <f t="shared" si="576"/>
        <v>0.57910132562443128</v>
      </c>
      <c r="AS61" s="370">
        <f t="shared" si="576"/>
        <v>0.80600913447658673</v>
      </c>
      <c r="AT61" s="370">
        <f t="shared" si="576"/>
        <v>0.80600913447658673</v>
      </c>
      <c r="AU61" s="370">
        <f t="shared" si="576"/>
        <v>0.80600913447658673</v>
      </c>
      <c r="AV61" s="370">
        <f t="shared" si="576"/>
        <v>0.80600913447658673</v>
      </c>
      <c r="AW61" s="370">
        <f t="shared" si="576"/>
        <v>0.80600913447658673</v>
      </c>
      <c r="AX61" s="370">
        <f t="shared" si="576"/>
        <v>0.80600913447658673</v>
      </c>
      <c r="AY61" s="370">
        <f t="shared" si="576"/>
        <v>0.80600913447658673</v>
      </c>
      <c r="AZ61" s="370">
        <f t="shared" si="576"/>
        <v>0.80600913447658673</v>
      </c>
      <c r="BA61" s="370">
        <f t="shared" si="576"/>
        <v>0.80600913447658673</v>
      </c>
      <c r="BB61" s="370">
        <f t="shared" si="576"/>
        <v>0.80600913447658673</v>
      </c>
      <c r="BC61" s="370">
        <f t="shared" si="576"/>
        <v>0.80600913447658673</v>
      </c>
      <c r="BD61" s="370">
        <f t="shared" si="576"/>
        <v>0.80600913447658673</v>
      </c>
      <c r="BE61" s="370">
        <f t="shared" si="576"/>
        <v>0.74594040325591648</v>
      </c>
      <c r="BF61" s="370">
        <f t="shared" si="576"/>
        <v>0.792053281218567</v>
      </c>
      <c r="BG61" s="370">
        <f t="shared" si="576"/>
        <v>0.792053281218567</v>
      </c>
      <c r="BH61" s="370">
        <f t="shared" si="576"/>
        <v>0.792053281218567</v>
      </c>
      <c r="BI61" s="370">
        <f t="shared" si="576"/>
        <v>0.792053281218567</v>
      </c>
      <c r="BJ61" s="370">
        <f t="shared" si="576"/>
        <v>0.792053281218567</v>
      </c>
      <c r="BK61" s="370">
        <f t="shared" si="576"/>
        <v>0.792053281218567</v>
      </c>
      <c r="BL61" s="370">
        <f t="shared" ref="BL61:CQ61" si="577">((BL32+BL45+BL50+(30000-BL28))/BL6)</f>
        <v>0.792053281218567</v>
      </c>
      <c r="BM61" s="370">
        <f t="shared" si="577"/>
        <v>0.792053281218567</v>
      </c>
      <c r="BN61" s="370">
        <f t="shared" si="577"/>
        <v>0.792053281218567</v>
      </c>
      <c r="BO61" s="370">
        <f t="shared" si="577"/>
        <v>0.792053281218567</v>
      </c>
      <c r="BP61" s="370">
        <f t="shared" si="577"/>
        <v>0.792053281218567</v>
      </c>
      <c r="BQ61" s="370">
        <f t="shared" si="577"/>
        <v>0.792053281218567</v>
      </c>
      <c r="BR61" s="370">
        <f t="shared" si="577"/>
        <v>0.73373412469364474</v>
      </c>
      <c r="BS61" s="370">
        <f t="shared" si="577"/>
        <v>0.85612900339600562</v>
      </c>
      <c r="BT61" s="370">
        <f t="shared" si="577"/>
        <v>0.85612900339600562</v>
      </c>
      <c r="BU61" s="370">
        <f t="shared" si="577"/>
        <v>0.85612900339600562</v>
      </c>
      <c r="BV61" s="370">
        <f t="shared" si="577"/>
        <v>0.85612900339600562</v>
      </c>
      <c r="BW61" s="370">
        <f t="shared" si="577"/>
        <v>0.85612900339600562</v>
      </c>
      <c r="BX61" s="370">
        <f t="shared" si="577"/>
        <v>0.85612900339600562</v>
      </c>
      <c r="BY61" s="370">
        <f t="shared" si="577"/>
        <v>0.85612900339600562</v>
      </c>
      <c r="BZ61" s="370">
        <f t="shared" si="577"/>
        <v>0.85612900339600562</v>
      </c>
      <c r="CA61" s="370">
        <f t="shared" si="577"/>
        <v>0.85612900339600562</v>
      </c>
      <c r="CB61" s="370">
        <f t="shared" si="577"/>
        <v>0.85612900339600562</v>
      </c>
      <c r="CC61" s="370">
        <f t="shared" si="577"/>
        <v>0.85612900339600562</v>
      </c>
      <c r="CD61" s="370">
        <f t="shared" si="577"/>
        <v>0.85612900339600562</v>
      </c>
      <c r="CE61" s="370">
        <f t="shared" si="577"/>
        <v>0.79950846308054702</v>
      </c>
      <c r="CF61" s="370">
        <f t="shared" si="577"/>
        <v>0.84071334813062415</v>
      </c>
      <c r="CG61" s="370">
        <f t="shared" si="577"/>
        <v>0.84071334813062415</v>
      </c>
      <c r="CH61" s="370">
        <f t="shared" si="577"/>
        <v>0.84071334813062415</v>
      </c>
      <c r="CI61" s="370">
        <f t="shared" si="577"/>
        <v>0.84071334813062415</v>
      </c>
      <c r="CJ61" s="370">
        <f t="shared" si="577"/>
        <v>0.84071334813062415</v>
      </c>
      <c r="CK61" s="370">
        <f t="shared" si="577"/>
        <v>0.84071334813062415</v>
      </c>
      <c r="CL61" s="370">
        <f t="shared" si="577"/>
        <v>0.84071334813062415</v>
      </c>
      <c r="CM61" s="370">
        <f t="shared" si="577"/>
        <v>0.84071334813062415</v>
      </c>
      <c r="CN61" s="370">
        <f t="shared" si="577"/>
        <v>0.84071334813062415</v>
      </c>
      <c r="CO61" s="370">
        <f t="shared" si="577"/>
        <v>0.84071334813062415</v>
      </c>
      <c r="CP61" s="370">
        <f t="shared" si="577"/>
        <v>0.84071334813062415</v>
      </c>
      <c r="CQ61" s="370">
        <f t="shared" si="577"/>
        <v>0.84071334813062415</v>
      </c>
      <c r="CR61" s="370">
        <f t="shared" ref="CR61:DW61" si="578">((CR32+CR45+CR50+(30000-CR28))/CR6)</f>
        <v>0.78574194976610146</v>
      </c>
      <c r="CS61" s="370">
        <f t="shared" si="578"/>
        <v>0.82574669253316668</v>
      </c>
      <c r="CT61" s="370">
        <f t="shared" si="578"/>
        <v>0.82574669253316668</v>
      </c>
      <c r="CU61" s="370">
        <f t="shared" si="578"/>
        <v>0.82574669253316668</v>
      </c>
      <c r="CV61" s="370">
        <f t="shared" si="578"/>
        <v>0.82574669253316668</v>
      </c>
      <c r="CW61" s="370">
        <f t="shared" si="578"/>
        <v>0.82574669253316668</v>
      </c>
      <c r="CX61" s="370">
        <f t="shared" si="578"/>
        <v>0.82574669253316668</v>
      </c>
      <c r="CY61" s="370">
        <f t="shared" si="578"/>
        <v>0.82574669253316668</v>
      </c>
      <c r="CZ61" s="370">
        <f t="shared" si="578"/>
        <v>0.82574669253316668</v>
      </c>
      <c r="DA61" s="370">
        <f t="shared" si="578"/>
        <v>0.82574669253316668</v>
      </c>
      <c r="DB61" s="370">
        <f t="shared" si="578"/>
        <v>0.82574669253316668</v>
      </c>
      <c r="DC61" s="370">
        <f t="shared" si="578"/>
        <v>0.82574669253316668</v>
      </c>
      <c r="DD61" s="370">
        <f t="shared" si="578"/>
        <v>0.82574669253316668</v>
      </c>
      <c r="DE61" s="370">
        <f t="shared" si="578"/>
        <v>0.77237640285887221</v>
      </c>
      <c r="DF61" s="370">
        <f t="shared" si="578"/>
        <v>0.81121595894340193</v>
      </c>
      <c r="DG61" s="370">
        <f t="shared" si="578"/>
        <v>0.81121595894340193</v>
      </c>
      <c r="DH61" s="370">
        <f t="shared" si="578"/>
        <v>0.81121595894340193</v>
      </c>
      <c r="DI61" s="370">
        <f t="shared" si="578"/>
        <v>0.81121595894340193</v>
      </c>
      <c r="DJ61" s="370">
        <f t="shared" si="578"/>
        <v>0.81121595894340193</v>
      </c>
      <c r="DK61" s="370">
        <f t="shared" si="578"/>
        <v>0.81121595894340193</v>
      </c>
      <c r="DL61" s="370">
        <f t="shared" si="578"/>
        <v>0.81121595894340193</v>
      </c>
      <c r="DM61" s="370">
        <f t="shared" si="578"/>
        <v>0.81121595894340193</v>
      </c>
      <c r="DN61" s="370">
        <f t="shared" si="578"/>
        <v>0.81121595894340193</v>
      </c>
      <c r="DO61" s="370">
        <f t="shared" si="578"/>
        <v>0.81121595894340193</v>
      </c>
      <c r="DP61" s="370">
        <f t="shared" si="578"/>
        <v>0.81121595894340193</v>
      </c>
      <c r="DQ61" s="370">
        <f t="shared" si="578"/>
        <v>0.81121595894340193</v>
      </c>
      <c r="DR61" s="370">
        <f t="shared" si="578"/>
        <v>0.7594001437256408</v>
      </c>
      <c r="DS61" s="370">
        <f t="shared" si="578"/>
        <v>0.79710845060382451</v>
      </c>
      <c r="DT61" s="370">
        <f t="shared" si="578"/>
        <v>0.79710845060382451</v>
      </c>
      <c r="DU61" s="370">
        <f t="shared" si="578"/>
        <v>0.79710845060382451</v>
      </c>
      <c r="DV61" s="370">
        <f t="shared" si="578"/>
        <v>0.79710845060382451</v>
      </c>
      <c r="DW61" s="370">
        <f t="shared" si="578"/>
        <v>0.79710845060382451</v>
      </c>
      <c r="DX61" s="370">
        <f t="shared" ref="DX61:EE61" si="579">((DX32+DX45+DX50+(30000-DX28))/DX6)</f>
        <v>0.79710845060382451</v>
      </c>
      <c r="DY61" s="370">
        <f t="shared" si="579"/>
        <v>0.79710845060382451</v>
      </c>
      <c r="DZ61" s="370">
        <f t="shared" si="579"/>
        <v>0.79710845060382451</v>
      </c>
      <c r="EA61" s="370">
        <f t="shared" si="579"/>
        <v>0.79710845060382451</v>
      </c>
      <c r="EB61" s="370">
        <f t="shared" si="579"/>
        <v>0.79710845060382451</v>
      </c>
      <c r="EC61" s="370">
        <f t="shared" si="579"/>
        <v>0.79710845060382451</v>
      </c>
      <c r="ED61" s="370">
        <f t="shared" si="579"/>
        <v>0.79710845060382451</v>
      </c>
      <c r="EE61" s="773">
        <f t="shared" si="579"/>
        <v>0.74680183388755117</v>
      </c>
      <c r="EF61" s="11"/>
      <c r="EG61" s="11"/>
      <c r="EH61" s="11"/>
      <c r="EI61" s="11"/>
    </row>
    <row r="62" spans="2:139">
      <c r="B62" s="724" t="s">
        <v>322</v>
      </c>
      <c r="C62" s="43"/>
      <c r="D62" s="43"/>
      <c r="E62" s="43"/>
      <c r="F62" s="1111"/>
      <c r="G62" s="1111"/>
      <c r="H62" s="11"/>
      <c r="I62" s="11"/>
      <c r="J62" s="11"/>
      <c r="K62" s="11"/>
      <c r="L62" s="6"/>
      <c r="ED62" s="11"/>
      <c r="EE62" s="764"/>
      <c r="EF62" s="11"/>
      <c r="EG62" s="11"/>
      <c r="EH62" s="11"/>
      <c r="EI62" s="11"/>
    </row>
    <row r="63" spans="2:139">
      <c r="B63" s="187" t="s">
        <v>323</v>
      </c>
      <c r="C63" s="1056"/>
      <c r="D63" s="1056"/>
      <c r="E63" s="1056"/>
      <c r="F63" s="156">
        <f>'Inputs &amp; Assumptions'!$D$6</f>
        <v>44340000</v>
      </c>
      <c r="G63" s="156">
        <f>'Inputs &amp; Assumptions'!$D$6</f>
        <v>44340000</v>
      </c>
      <c r="H63" s="156">
        <f>'Inputs &amp; Assumptions'!$D$6</f>
        <v>44340000</v>
      </c>
      <c r="I63" s="156">
        <f>'Inputs &amp; Assumptions'!$D$6</f>
        <v>44340000</v>
      </c>
      <c r="J63" s="156">
        <f>'Inputs &amp; Assumptions'!$D$6</f>
        <v>44340000</v>
      </c>
      <c r="K63" s="156">
        <f>'Inputs &amp; Assumptions'!$D$6</f>
        <v>44340000</v>
      </c>
      <c r="L63" s="156">
        <f>(SUM(F36:L36)*12/7)/'Inputs &amp; Assumptions'!$V$65</f>
        <v>41361939.068807617</v>
      </c>
      <c r="M63" s="156">
        <f>(SUM(F36:M36)*12/8)/'Inputs &amp; Assumptions'!$V$65</f>
        <v>41361939.068807617</v>
      </c>
      <c r="N63" s="156">
        <f>(SUM(F36:N36)*12/9)/'Inputs &amp; Assumptions'!$V$65</f>
        <v>41361939.068807617</v>
      </c>
      <c r="O63" s="156">
        <f>(SUM(F36:O36)*12/10)/'Inputs &amp; Assumptions'!$V$65</f>
        <v>41361939.068807609</v>
      </c>
      <c r="P63" s="156">
        <f>(SUM(F36:P36)*12/11)/'Inputs &amp; Assumptions'!$V$65</f>
        <v>41361939.068807617</v>
      </c>
      <c r="Q63" s="156">
        <f>IF(Q4='Inputs &amp; Assumptions'!W63,'Inputs &amp; Assumptions'!V64,0)</f>
        <v>0</v>
      </c>
      <c r="R63" s="1112">
        <f>Q63</f>
        <v>0</v>
      </c>
      <c r="S63" s="156">
        <f>IF(S4='Inputs &amp; Assumptions'!W63,'Inputs &amp; Assumptions'!V64,(SUM(G36:S36)-$R$36)/'Inputs &amp; Assumptions'!$V$65)</f>
        <v>42352095.205210783</v>
      </c>
      <c r="T63" s="156">
        <f>(SUM(H36:T36)-$R$36)/'Inputs &amp; Assumptions'!$V$65</f>
        <v>43342251.341613941</v>
      </c>
      <c r="U63" s="156">
        <f>(SUM(I36:U36)-$R$36)/'Inputs &amp; Assumptions'!$V$65</f>
        <v>44332407.478017122</v>
      </c>
      <c r="V63" s="156">
        <f>(SUM(J36:V36)-$R$36)/'Inputs &amp; Assumptions'!$V$65</f>
        <v>45322563.614420302</v>
      </c>
      <c r="W63" s="156">
        <f>(SUM(K36:W36)-$R$36)/'Inputs &amp; Assumptions'!$V$65</f>
        <v>46312719.750823483</v>
      </c>
      <c r="X63" s="156">
        <f>(SUM(L36:X36)-$R$36)/'Inputs &amp; Assumptions'!$V$65</f>
        <v>47302875.887226641</v>
      </c>
      <c r="Y63" s="156">
        <f>(SUM(M36:Y36)-$R$36)/'Inputs &amp; Assumptions'!$V$65</f>
        <v>48293032.023629822</v>
      </c>
      <c r="Z63" s="156">
        <f>(SUM(N36:Z36)-$R$36)/'Inputs &amp; Assumptions'!$V$65</f>
        <v>49283188.160033002</v>
      </c>
      <c r="AA63" s="156">
        <f>(SUM(O36:AA36)-$R$36)/'Inputs &amp; Assumptions'!$V$65</f>
        <v>50273344.296436161</v>
      </c>
      <c r="AB63" s="156">
        <f>(SUM(P36:AB36)-$R$36)/'Inputs &amp; Assumptions'!$V$65</f>
        <v>51263500.432839341</v>
      </c>
      <c r="AC63" s="156">
        <f>(SUM(Q36:AC36)-$R$36)/'Inputs &amp; Assumptions'!$V$65</f>
        <v>52253656.569242507</v>
      </c>
      <c r="AD63" s="156">
        <f>IF(AD4='Inputs &amp; Assumptions'!W63,'Inputs &amp; Assumptions'!V64,AD36*12/'Inputs &amp; Assumptions'!$V$65)</f>
        <v>53243812.70564568</v>
      </c>
      <c r="AE63" s="156">
        <f>AD63</f>
        <v>53243812.70564568</v>
      </c>
      <c r="AF63" s="156">
        <f>(SUM(T36:AF36)-$AE$36)/'Inputs &amp; Assumptions'!$V$65</f>
        <v>54355826.89697326</v>
      </c>
      <c r="AG63" s="156">
        <f>(SUM(U36:AG36)-$AE$36)/'Inputs &amp; Assumptions'!$V$65</f>
        <v>55467841.088300854</v>
      </c>
      <c r="AH63" s="156">
        <f>(SUM(V36:AH36)-$AE$36)/'Inputs &amp; Assumptions'!$V$65</f>
        <v>56579855.279628456</v>
      </c>
      <c r="AI63" s="156">
        <f>(SUM(W36:AI36)-$AE$36)/'Inputs &amp; Assumptions'!$V$65</f>
        <v>57691869.470956035</v>
      </c>
      <c r="AJ63" s="156">
        <f>(SUM(X36:AJ36)-$AE$36)/'Inputs &amp; Assumptions'!$V$65</f>
        <v>58803883.662283637</v>
      </c>
      <c r="AK63" s="156">
        <f>(SUM(Y36:AK36)-$AE$36)/'Inputs &amp; Assumptions'!$V$65</f>
        <v>59915897.853611231</v>
      </c>
      <c r="AL63" s="156">
        <f>(SUM(Z36:AL36)-$AE$36)/'Inputs &amp; Assumptions'!$V$65</f>
        <v>61027912.044938833</v>
      </c>
      <c r="AM63" s="156">
        <f>(SUM(AA36:AM36)-$AE$36)/'Inputs &amp; Assumptions'!$V$65</f>
        <v>62139926.236266434</v>
      </c>
      <c r="AN63" s="156">
        <f>(SUM(AB36:AN36)-$AE$36)/'Inputs &amp; Assumptions'!$V$65</f>
        <v>63251940.427594014</v>
      </c>
      <c r="AO63" s="156">
        <f>(SUM(AC36:AO36)-$AE$36)/'Inputs &amp; Assumptions'!$V$65</f>
        <v>64363954.618921615</v>
      </c>
      <c r="AP63" s="156">
        <f>(SUM(AD36:AP36)-$AE$36)/'Inputs &amp; Assumptions'!$V$65</f>
        <v>65475968.810249209</v>
      </c>
      <c r="AQ63" s="156">
        <f>IF(AQ4='Inputs &amp; Assumptions'!W63,'Inputs &amp; Assumptions'!V64,SUM(AF36:AQ36)/'Inputs &amp; Assumptions'!$V$65)</f>
        <v>66587983.001576804</v>
      </c>
      <c r="AR63" s="156">
        <f>AQ63</f>
        <v>66587983.001576804</v>
      </c>
      <c r="AS63" s="156">
        <f>(SUM(AG36:AS36)-$AR$36)/'Inputs &amp; Assumptions'!$V$65</f>
        <v>66754452.959080741</v>
      </c>
      <c r="AT63" s="156">
        <f>(SUM(AH36:AT36)-$AR$36)/'Inputs &amp; Assumptions'!$V$65</f>
        <v>66920922.916584685</v>
      </c>
      <c r="AU63" s="156">
        <f>(SUM(AI36:AU36)-$AR$36)/'Inputs &amp; Assumptions'!$V$65</f>
        <v>67087392.87408863</v>
      </c>
      <c r="AV63" s="156">
        <f>(SUM(AJ36:AV36)-$AR$36)/'Inputs &amp; Assumptions'!$V$65</f>
        <v>67253862.831592575</v>
      </c>
      <c r="AW63" s="156">
        <f>(SUM(AK36:AW36)-$AR$36)/'Inputs &amp; Assumptions'!$V$65</f>
        <v>67420332.789096519</v>
      </c>
      <c r="AX63" s="156">
        <f>(SUM(AL36:AX36)-$AR$36)/'Inputs &amp; Assumptions'!$V$65</f>
        <v>67586802.746600449</v>
      </c>
      <c r="AY63" s="156">
        <f>(SUM(AM36:AY36)-$AR$36)/'Inputs &amp; Assumptions'!$V$65</f>
        <v>67753272.704104394</v>
      </c>
      <c r="AZ63" s="156">
        <f>(SUM(AN36:AZ36)-$AR$36)/'Inputs &amp; Assumptions'!$V$65</f>
        <v>67919742.661608338</v>
      </c>
      <c r="BA63" s="156">
        <f>(SUM(AO36:BA36)-$AR$36)/'Inputs &amp; Assumptions'!$V$65</f>
        <v>68086212.619112283</v>
      </c>
      <c r="BB63" s="156">
        <f>(SUM(AP36:BB36)-$AR$36)/'Inputs &amp; Assumptions'!$V$65</f>
        <v>68252682.576616228</v>
      </c>
      <c r="BC63" s="156">
        <f>(SUM(AQ36:BC36)-$AR$36)/'Inputs &amp; Assumptions'!$V$65</f>
        <v>68419152.534120172</v>
      </c>
      <c r="BD63" s="156">
        <f>IF(BD4='Inputs &amp; Assumptions'!W63,'Inputs &amp; Assumptions'!V64,SUM(AS36:BD36)/'Inputs &amp; Assumptions'!$V$65)</f>
        <v>68585622.491624117</v>
      </c>
      <c r="BE63" s="156">
        <f>BD63</f>
        <v>68585622.491624117</v>
      </c>
      <c r="BF63" s="156">
        <f>(SUM(AT36:BF36)-$BE$36)/'Inputs &amp; Assumptions'!$V$65</f>
        <v>68757086.547853172</v>
      </c>
      <c r="BG63" s="156">
        <f>(SUM(AU36:BG36)-$BE$36)/'Inputs &amp; Assumptions'!$V$65</f>
        <v>68928550.604082227</v>
      </c>
      <c r="BH63" s="156">
        <f>(SUM(AV36:BH36)-$BE$36)/'Inputs &amp; Assumptions'!$V$65</f>
        <v>69100014.660311282</v>
      </c>
      <c r="BI63" s="156">
        <f>(SUM(AW36:BI36)-$BE$36)/'Inputs &amp; Assumptions'!$V$65</f>
        <v>69271478.716540352</v>
      </c>
      <c r="BJ63" s="156">
        <f>(SUM(AX36:BJ36)-$BE$36)/'Inputs &amp; Assumptions'!$V$65</f>
        <v>69442942.772769406</v>
      </c>
      <c r="BK63" s="156">
        <f>(SUM(AY36:BK36)-$BE$36)/'Inputs &amp; Assumptions'!$V$65</f>
        <v>69614406.828998461</v>
      </c>
      <c r="BL63" s="156">
        <f>(SUM(AZ36:BL36)-$BE$36)/'Inputs &amp; Assumptions'!$V$65</f>
        <v>69785870.885227531</v>
      </c>
      <c r="BM63" s="156">
        <f>(SUM(BA36:BM36)-$BE$36)/'Inputs &amp; Assumptions'!$V$65</f>
        <v>69957334.941456586</v>
      </c>
      <c r="BN63" s="156">
        <f>(SUM(BB36:BN36)-$BE$36)/'Inputs &amp; Assumptions'!$V$65</f>
        <v>70128798.997685641</v>
      </c>
      <c r="BO63" s="156">
        <f>(SUM(BC36:BO36)-$BE$36)/'Inputs &amp; Assumptions'!$V$65</f>
        <v>70300263.053914696</v>
      </c>
      <c r="BP63" s="156">
        <f>(SUM(BD36:BP36)-$BE$36)/'Inputs &amp; Assumptions'!$V$65</f>
        <v>70471727.110143766</v>
      </c>
      <c r="BQ63" s="156">
        <f>IF(BQ4='Inputs &amp; Assumptions'!W63,'Inputs &amp; Assumptions'!V64,SUM(BF36:BQ36)/'Inputs &amp; Assumptions'!$V$65)</f>
        <v>70643191.166372836</v>
      </c>
      <c r="BR63" s="156">
        <f>BQ63</f>
        <v>70643191.166372836</v>
      </c>
      <c r="BS63" s="156">
        <f>(SUM(BG36:BS36)-$BR$36)/'Inputs &amp; Assumptions'!$V$65</f>
        <v>70819799.144288763</v>
      </c>
      <c r="BT63" s="156">
        <f>(SUM(BH36:BT36)-$BR$36)/'Inputs &amp; Assumptions'!$V$65</f>
        <v>70996407.122204691</v>
      </c>
      <c r="BU63" s="156">
        <f>(SUM(BI36:BU36)-$BR$36)/'Inputs &amp; Assumptions'!$V$65</f>
        <v>71173015.100120619</v>
      </c>
      <c r="BV63" s="156">
        <f>(SUM(BJ36:BV36)-$BR$36)/'Inputs &amp; Assumptions'!$V$65</f>
        <v>71349623.078036547</v>
      </c>
      <c r="BW63" s="156">
        <f>(SUM(BK36:BW36)-$BR$36)/'Inputs &amp; Assumptions'!$V$65</f>
        <v>71526231.055952474</v>
      </c>
      <c r="BX63" s="156">
        <f>(SUM(BL36:BX36)-$BR$36)/'Inputs &amp; Assumptions'!$V$65</f>
        <v>71702839.033868402</v>
      </c>
      <c r="BY63" s="156">
        <f>(SUM(BM36:BY36)-$BR$36)/'Inputs &amp; Assumptions'!$V$65</f>
        <v>71879447.011784315</v>
      </c>
      <c r="BZ63" s="156">
        <f>(SUM(BN36:BZ36)-$BR$36)/'Inputs &amp; Assumptions'!$V$65</f>
        <v>72056054.989700243</v>
      </c>
      <c r="CA63" s="156">
        <f>(SUM(BO36:CA36)-$BR$36)/'Inputs &amp; Assumptions'!$V$65</f>
        <v>72232662.967616171</v>
      </c>
      <c r="CB63" s="156">
        <f>(SUM(BP36:CB36)-$BR$36)/'Inputs &amp; Assumptions'!$V$65</f>
        <v>72409270.945532098</v>
      </c>
      <c r="CC63" s="156">
        <f>(SUM(BQ36:CC36)-$BR$36)/'Inputs &amp; Assumptions'!$V$65</f>
        <v>72585878.923448026</v>
      </c>
      <c r="CD63" s="156">
        <f>IF(CD4='Inputs &amp; Assumptions'!W63,'Inputs &amp; Assumptions'!V64,SUM(BS36:CD36)/'Inputs &amp; Assumptions'!$V$65)</f>
        <v>72762486.901364043</v>
      </c>
      <c r="CE63" s="156">
        <f>CD63</f>
        <v>72762486.901364043</v>
      </c>
      <c r="CF63" s="156">
        <f>(SUM(BT36:CF36)-$CE$36)/'Inputs &amp; Assumptions'!$V$65</f>
        <v>72944393.11861746</v>
      </c>
      <c r="CG63" s="156">
        <f>(SUM(BU36:CG36)-$CE$36)/'Inputs &amp; Assumptions'!$V$65</f>
        <v>73126299.335870862</v>
      </c>
      <c r="CH63" s="156">
        <f>(SUM(BV36:CH36)-$CE$36)/'Inputs &amp; Assumptions'!$V$65</f>
        <v>73308205.553124264</v>
      </c>
      <c r="CI63" s="156">
        <f>(SUM(BW36:CI36)-$CE$36)/'Inputs &amp; Assumptions'!$V$65</f>
        <v>73490111.770377696</v>
      </c>
      <c r="CJ63" s="156">
        <f>(SUM(BX36:CJ36)-$CE$36)/'Inputs &amp; Assumptions'!$V$65</f>
        <v>73672017.987631112</v>
      </c>
      <c r="CK63" s="156">
        <f>(SUM(BY36:CK36)-$CE$36)/'Inputs &amp; Assumptions'!$V$65</f>
        <v>73853924.204884514</v>
      </c>
      <c r="CL63" s="156">
        <f>(SUM(BZ36:CL36)-$CE$36)/'Inputs &amp; Assumptions'!$V$65</f>
        <v>74035830.422137916</v>
      </c>
      <c r="CM63" s="156">
        <f>(SUM(CA36:CM36)-$CE$36)/'Inputs &amp; Assumptions'!$V$65</f>
        <v>74217736.639391348</v>
      </c>
      <c r="CN63" s="156">
        <f>(SUM(CB36:CN36)-$CE$36)/'Inputs &amp; Assumptions'!$V$65</f>
        <v>74399642.856644765</v>
      </c>
      <c r="CO63" s="156">
        <f>(SUM(CC36:CO36)-$CE$36)/'Inputs &amp; Assumptions'!$V$65</f>
        <v>74581549.073898166</v>
      </c>
      <c r="CP63" s="156">
        <f>(SUM(CD36:CP36)-$CE$36)/'Inputs &amp; Assumptions'!$V$65</f>
        <v>74763455.291151583</v>
      </c>
      <c r="CQ63" s="156">
        <f>IF(CQ4='Inputs &amp; Assumptions'!W63,'Inputs &amp; Assumptions'!V64,SUM(CF36:CQ36)/'Inputs &amp; Assumptions'!$V$65)</f>
        <v>74945361.50840497</v>
      </c>
      <c r="CR63" s="156">
        <f>CQ63</f>
        <v>74945361.50840497</v>
      </c>
      <c r="CS63" s="156">
        <f>(SUM(CG36:CS36)-$CR$36)/'Inputs &amp; Assumptions'!$V$65</f>
        <v>75132724.912175998</v>
      </c>
      <c r="CT63" s="156">
        <f>(SUM(CH36:CT36)-$CR$36)/'Inputs &amp; Assumptions'!$V$65</f>
        <v>75320088.315946996</v>
      </c>
      <c r="CU63" s="156">
        <f>(SUM(CI36:CU36)-$CR$36)/'Inputs &amp; Assumptions'!$V$65</f>
        <v>75507451.719718024</v>
      </c>
      <c r="CV63" s="156">
        <f>(SUM(CJ36:CV36)-$CR$36)/'Inputs &amp; Assumptions'!$V$65</f>
        <v>75694815.123489037</v>
      </c>
      <c r="CW63" s="156">
        <f>(SUM(CK36:CW36)-$CR$36)/'Inputs &amp; Assumptions'!$V$65</f>
        <v>75882178.527260065</v>
      </c>
      <c r="CX63" s="156">
        <f>(SUM(CL36:CX36)-$CR$36)/'Inputs &amp; Assumptions'!$V$65</f>
        <v>76069541.931031063</v>
      </c>
      <c r="CY63" s="156">
        <f>(SUM(CM36:CY36)-$CR$36)/'Inputs &amp; Assumptions'!$V$65</f>
        <v>76256905.334802106</v>
      </c>
      <c r="CZ63" s="156">
        <f>(SUM(CN36:CZ36)-$CR$36)/'Inputs &amp; Assumptions'!$V$65</f>
        <v>76444268.738573149</v>
      </c>
      <c r="DA63" s="156">
        <f>(SUM(CO36:DA36)-$CR$36)/'Inputs &amp; Assumptions'!$V$65</f>
        <v>76631632.142344147</v>
      </c>
      <c r="DB63" s="156">
        <f>(SUM(CP36:DB36)-$CR$36)/'Inputs &amp; Assumptions'!$V$65</f>
        <v>76818995.54611519</v>
      </c>
      <c r="DC63" s="156">
        <f>(SUM(CQ36:DC36)-$CR$36)/'Inputs &amp; Assumptions'!$V$65</f>
        <v>77006358.949886188</v>
      </c>
      <c r="DD63" s="156">
        <f>IF(DD4='Inputs &amp; Assumptions'!W63,'Inputs &amp; Assumptions'!V64,SUM(CS36:DD36)/'Inputs &amp; Assumptions'!$V$65)</f>
        <v>77193722.353657126</v>
      </c>
      <c r="DE63" s="156">
        <f>DD63</f>
        <v>77193722.353657126</v>
      </c>
      <c r="DF63" s="156">
        <f>(SUM(CT36:DF36)-$DE$36)/'Inputs &amp; Assumptions'!$V$65</f>
        <v>77386706.659541249</v>
      </c>
      <c r="DG63" s="156">
        <f>(SUM(CU36:DG36)-$DE$36)/'Inputs &amp; Assumptions'!$V$65</f>
        <v>77579690.965425387</v>
      </c>
      <c r="DH63" s="156">
        <f>(SUM(CV36:DH36)-$DE$36)/'Inputs &amp; Assumptions'!$V$65</f>
        <v>77772675.271309525</v>
      </c>
      <c r="DI63" s="156">
        <f>(SUM(CW36:DI36)-$DE$36)/'Inputs &amp; Assumptions'!$V$65</f>
        <v>77965659.577193648</v>
      </c>
      <c r="DJ63" s="156">
        <f>(SUM(CX36:DJ36)-$DE$36)/'Inputs &amp; Assumptions'!$V$65</f>
        <v>78158643.88307777</v>
      </c>
      <c r="DK63" s="156">
        <f>(SUM(CY36:DK36)-$DE$36)/'Inputs &amp; Assumptions'!$V$65</f>
        <v>78351628.188961908</v>
      </c>
      <c r="DL63" s="156">
        <f>(SUM(CZ36:DL36)-$DE$36)/'Inputs &amp; Assumptions'!$V$65</f>
        <v>78544612.494846046</v>
      </c>
      <c r="DM63" s="156">
        <f>(SUM(DA36:DM36)-$DE$36)/'Inputs &amp; Assumptions'!$V$65</f>
        <v>78737596.800730169</v>
      </c>
      <c r="DN63" s="156">
        <f>(SUM(DB36:DN36)-$DE$36)/'Inputs &amp; Assumptions'!$V$65</f>
        <v>78930581.106614292</v>
      </c>
      <c r="DO63" s="156">
        <f>(SUM(DC36:DO36)-$DE$36)/'Inputs &amp; Assumptions'!$V$65</f>
        <v>79123565.412498429</v>
      </c>
      <c r="DP63" s="156">
        <f>(SUM(DD36:DP36)-$DE$36)/'Inputs &amp; Assumptions'!$V$65</f>
        <v>79316549.718382567</v>
      </c>
      <c r="DQ63" s="156">
        <f>IF(DQ4='Inputs &amp; Assumptions'!W63,'Inputs &amp; Assumptions'!V64,SUM(DF36:DQ36)/'Inputs &amp; Assumptions'!$V$65)</f>
        <v>79509534.024266779</v>
      </c>
      <c r="DR63" s="156">
        <f>DQ63</f>
        <v>79509534.024266779</v>
      </c>
      <c r="DS63" s="156">
        <f>(SUM(DG36:DS36)-$DR$36)/'Inputs &amp; Assumptions'!$V$65</f>
        <v>79708307.85932745</v>
      </c>
      <c r="DT63" s="156">
        <f>(SUM(DH36:DT36)-$DR$36)/'Inputs &amp; Assumptions'!$V$65</f>
        <v>79907081.694388106</v>
      </c>
      <c r="DU63" s="156">
        <f>(SUM(DI36:DU36)-$DR$36)/'Inputs &amp; Assumptions'!$V$65</f>
        <v>80105855.529448777</v>
      </c>
      <c r="DV63" s="156">
        <f>(SUM(DJ36:DV36)-$DR$36)/'Inputs &amp; Assumptions'!$V$65</f>
        <v>80304629.364509463</v>
      </c>
      <c r="DW63" s="156">
        <f>(SUM(DK36:DW36)-$DR$36)/'Inputs &amp; Assumptions'!$V$65</f>
        <v>80503403.19957009</v>
      </c>
      <c r="DX63" s="156">
        <f>(SUM(DL36:DX36)-$DR$36)/'Inputs &amp; Assumptions'!$V$65</f>
        <v>80702177.034630775</v>
      </c>
      <c r="DY63" s="156">
        <f>(SUM(DM36:DY36)-$DR$36)/'Inputs &amp; Assumptions'!$V$65</f>
        <v>80900950.869691446</v>
      </c>
      <c r="DZ63" s="156">
        <f>(SUM(DN36:DZ36)-$DR$36)/'Inputs &amp; Assumptions'!$V$65</f>
        <v>81099724.704752117</v>
      </c>
      <c r="EA63" s="156">
        <f>(SUM(DO36:EA36)-$DR$36)/'Inputs &amp; Assumptions'!$V$65</f>
        <v>81298498.539812788</v>
      </c>
      <c r="EB63" s="156">
        <f>(SUM(DP36:EB36)-$DR$36)/'Inputs &amp; Assumptions'!$V$65</f>
        <v>81497272.37487343</v>
      </c>
      <c r="EC63" s="156">
        <f>(SUM(DQ36:EC36)-$DR$36)/'Inputs &amp; Assumptions'!$V$65</f>
        <v>81696046.209934115</v>
      </c>
      <c r="ED63" s="156">
        <f>IF(ED4='Inputs &amp; Assumptions'!W63,'Inputs &amp; Assumptions'!V64,SUM(DS36:ED36)/'Inputs &amp; Assumptions'!$V$65)</f>
        <v>81894820.044994816</v>
      </c>
      <c r="EE63" s="243">
        <f>ED63</f>
        <v>81894820.044994816</v>
      </c>
      <c r="EF63" s="11"/>
      <c r="EG63" s="11"/>
      <c r="EH63" s="11"/>
      <c r="EI63" s="11"/>
    </row>
    <row r="64" spans="2:139" ht="16.5" thickBot="1">
      <c r="B64" s="185" t="s">
        <v>324</v>
      </c>
      <c r="C64" s="183"/>
      <c r="D64" s="183"/>
      <c r="E64" s="183"/>
      <c r="F64" s="736">
        <f>'Cash Flows &amp; Summary'!$AA$4-F65</f>
        <v>15820218.099999998</v>
      </c>
      <c r="G64" s="736">
        <f>F64-G65</f>
        <v>15820218.099999998</v>
      </c>
      <c r="H64" s="736">
        <f>G64-H65</f>
        <v>15820218.099999998</v>
      </c>
      <c r="I64" s="736">
        <f t="shared" ref="I64:AK64" si="580">H64-I65</f>
        <v>15820218.099999998</v>
      </c>
      <c r="J64" s="736">
        <f t="shared" si="580"/>
        <v>15820218.099999998</v>
      </c>
      <c r="K64" s="736">
        <f t="shared" si="580"/>
        <v>15820218.099999998</v>
      </c>
      <c r="L64" s="736">
        <f t="shared" si="580"/>
        <v>15820218.099999998</v>
      </c>
      <c r="M64" s="736">
        <f t="shared" si="580"/>
        <v>15820218.099999998</v>
      </c>
      <c r="N64" s="736">
        <f t="shared" si="580"/>
        <v>15820218.099999998</v>
      </c>
      <c r="O64" s="736">
        <f t="shared" si="580"/>
        <v>15820218.099999998</v>
      </c>
      <c r="P64" s="736">
        <f t="shared" si="580"/>
        <v>15820218.099999998</v>
      </c>
      <c r="Q64" s="736">
        <f t="shared" si="580"/>
        <v>15820218.099999998</v>
      </c>
      <c r="R64" s="736">
        <f>Q64</f>
        <v>15820218.099999998</v>
      </c>
      <c r="S64" s="736">
        <f>Q64-S65</f>
        <v>15820218.099999998</v>
      </c>
      <c r="T64" s="736">
        <f t="shared" si="580"/>
        <v>15820218.099999998</v>
      </c>
      <c r="U64" s="736">
        <f t="shared" si="580"/>
        <v>15820218.099999998</v>
      </c>
      <c r="V64" s="736">
        <f t="shared" si="580"/>
        <v>15820218.099999998</v>
      </c>
      <c r="W64" s="736">
        <f t="shared" si="580"/>
        <v>15820218.099999998</v>
      </c>
      <c r="X64" s="736">
        <f t="shared" si="580"/>
        <v>15820218.099999998</v>
      </c>
      <c r="Y64" s="736">
        <f t="shared" si="580"/>
        <v>15820218.099999998</v>
      </c>
      <c r="Z64" s="736">
        <f t="shared" si="580"/>
        <v>15820218.099999998</v>
      </c>
      <c r="AA64" s="736">
        <f t="shared" si="580"/>
        <v>15820218.099999998</v>
      </c>
      <c r="AB64" s="736">
        <f t="shared" si="580"/>
        <v>15820218.099999998</v>
      </c>
      <c r="AC64" s="736">
        <f t="shared" si="580"/>
        <v>15820218.099999998</v>
      </c>
      <c r="AD64" s="736">
        <f t="shared" si="580"/>
        <v>15820218.099999998</v>
      </c>
      <c r="AE64" s="736">
        <f>AD64</f>
        <v>15820218.099999998</v>
      </c>
      <c r="AF64" s="736">
        <f>AD64-AF65</f>
        <v>15820218.099999998</v>
      </c>
      <c r="AG64" s="736">
        <f t="shared" si="580"/>
        <v>15820218.099999998</v>
      </c>
      <c r="AH64" s="736">
        <f t="shared" si="580"/>
        <v>15820218.099999998</v>
      </c>
      <c r="AI64" s="736">
        <f t="shared" si="580"/>
        <v>15820218.099999998</v>
      </c>
      <c r="AJ64" s="736">
        <f t="shared" si="580"/>
        <v>15820218.099999998</v>
      </c>
      <c r="AK64" s="736">
        <f t="shared" si="580"/>
        <v>15820218.099999998</v>
      </c>
      <c r="AL64" s="736">
        <f t="shared" ref="AL64:AP64" si="581">AK64-AL65</f>
        <v>15820218.099999998</v>
      </c>
      <c r="AM64" s="736">
        <f t="shared" si="581"/>
        <v>15820218.099999998</v>
      </c>
      <c r="AN64" s="736">
        <f t="shared" si="581"/>
        <v>15820218.099999998</v>
      </c>
      <c r="AO64" s="736">
        <f t="shared" si="581"/>
        <v>15820218.099999998</v>
      </c>
      <c r="AP64" s="736">
        <f t="shared" si="581"/>
        <v>15820218.099999998</v>
      </c>
      <c r="AQ64" s="736">
        <f>AP64-AQ65</f>
        <v>15820218.099999998</v>
      </c>
      <c r="AR64" s="736">
        <f>AQ64</f>
        <v>15820218.099999998</v>
      </c>
      <c r="AS64" s="736">
        <f>AQ64-AS65</f>
        <v>15820218.099999998</v>
      </c>
      <c r="AT64" s="736">
        <f t="shared" ref="AT64:BD64" si="582">AS64-AT65</f>
        <v>15820218.099999998</v>
      </c>
      <c r="AU64" s="736">
        <f t="shared" si="582"/>
        <v>15820218.099999998</v>
      </c>
      <c r="AV64" s="736">
        <f t="shared" si="582"/>
        <v>15820218.099999998</v>
      </c>
      <c r="AW64" s="736">
        <f t="shared" si="582"/>
        <v>15820218.099999998</v>
      </c>
      <c r="AX64" s="736">
        <f t="shared" si="582"/>
        <v>15820218.099999998</v>
      </c>
      <c r="AY64" s="736">
        <f t="shared" si="582"/>
        <v>15820218.099999998</v>
      </c>
      <c r="AZ64" s="736">
        <f t="shared" si="582"/>
        <v>15820218.099999998</v>
      </c>
      <c r="BA64" s="736">
        <f t="shared" si="582"/>
        <v>15820218.099999998</v>
      </c>
      <c r="BB64" s="736">
        <f t="shared" si="582"/>
        <v>15820218.099999998</v>
      </c>
      <c r="BC64" s="736">
        <f t="shared" si="582"/>
        <v>15820218.099999998</v>
      </c>
      <c r="BD64" s="736">
        <f t="shared" si="582"/>
        <v>15820218.099999998</v>
      </c>
      <c r="BE64" s="736">
        <f>BD64</f>
        <v>15820218.099999998</v>
      </c>
      <c r="BF64" s="736">
        <f>BD64-BF65</f>
        <v>15820218.099999998</v>
      </c>
      <c r="BG64" s="736">
        <f t="shared" ref="BG64:BQ64" si="583">BF64-BG65</f>
        <v>15820218.099999998</v>
      </c>
      <c r="BH64" s="736">
        <f t="shared" si="583"/>
        <v>15820218.099999998</v>
      </c>
      <c r="BI64" s="736">
        <f t="shared" si="583"/>
        <v>15820218.099999998</v>
      </c>
      <c r="BJ64" s="736">
        <f t="shared" si="583"/>
        <v>15820218.099999998</v>
      </c>
      <c r="BK64" s="736">
        <f t="shared" si="583"/>
        <v>15820218.099999998</v>
      </c>
      <c r="BL64" s="736">
        <f t="shared" si="583"/>
        <v>15820218.099999998</v>
      </c>
      <c r="BM64" s="736">
        <f t="shared" si="583"/>
        <v>15820218.099999998</v>
      </c>
      <c r="BN64" s="736">
        <f t="shared" si="583"/>
        <v>15820218.099999998</v>
      </c>
      <c r="BO64" s="736">
        <f t="shared" si="583"/>
        <v>15820218.099999998</v>
      </c>
      <c r="BP64" s="736">
        <f t="shared" si="583"/>
        <v>15820218.099999998</v>
      </c>
      <c r="BQ64" s="736">
        <f t="shared" si="583"/>
        <v>15820218.099999998</v>
      </c>
      <c r="BR64" s="736">
        <f>BQ64</f>
        <v>15820218.099999998</v>
      </c>
      <c r="BS64" s="736">
        <f>BQ64-BS65</f>
        <v>15820218.099999998</v>
      </c>
      <c r="BT64" s="736">
        <f t="shared" ref="BT64:CD64" si="584">BS64-BT65</f>
        <v>15820218.099999998</v>
      </c>
      <c r="BU64" s="736">
        <f t="shared" si="584"/>
        <v>15820218.099999998</v>
      </c>
      <c r="BV64" s="736">
        <f t="shared" si="584"/>
        <v>15820218.099999998</v>
      </c>
      <c r="BW64" s="736">
        <f t="shared" si="584"/>
        <v>15820218.099999998</v>
      </c>
      <c r="BX64" s="736">
        <f t="shared" si="584"/>
        <v>15820218.099999998</v>
      </c>
      <c r="BY64" s="736">
        <f t="shared" si="584"/>
        <v>15820218.099999998</v>
      </c>
      <c r="BZ64" s="736">
        <f t="shared" si="584"/>
        <v>15820218.099999998</v>
      </c>
      <c r="CA64" s="736">
        <f t="shared" si="584"/>
        <v>15820218.099999998</v>
      </c>
      <c r="CB64" s="736">
        <f t="shared" si="584"/>
        <v>15820218.099999998</v>
      </c>
      <c r="CC64" s="736">
        <f t="shared" si="584"/>
        <v>15820218.099999998</v>
      </c>
      <c r="CD64" s="736">
        <f t="shared" si="584"/>
        <v>15820218.099999998</v>
      </c>
      <c r="CE64" s="736">
        <f>CD64</f>
        <v>15820218.099999998</v>
      </c>
      <c r="CF64" s="736">
        <f>CD64-CF65</f>
        <v>15820218.099999998</v>
      </c>
      <c r="CG64" s="736">
        <f t="shared" ref="CG64:CQ64" si="585">CF64-CG65</f>
        <v>15820218.099999998</v>
      </c>
      <c r="CH64" s="736">
        <f t="shared" si="585"/>
        <v>15820218.099999998</v>
      </c>
      <c r="CI64" s="736">
        <f t="shared" si="585"/>
        <v>15820218.099999998</v>
      </c>
      <c r="CJ64" s="736">
        <f t="shared" si="585"/>
        <v>15820218.099999998</v>
      </c>
      <c r="CK64" s="736">
        <f t="shared" si="585"/>
        <v>15820218.099999998</v>
      </c>
      <c r="CL64" s="736">
        <f t="shared" si="585"/>
        <v>15820218.099999998</v>
      </c>
      <c r="CM64" s="736">
        <f t="shared" si="585"/>
        <v>15820218.099999998</v>
      </c>
      <c r="CN64" s="736">
        <f t="shared" si="585"/>
        <v>15820218.099999998</v>
      </c>
      <c r="CO64" s="736">
        <f t="shared" si="585"/>
        <v>15820218.099999998</v>
      </c>
      <c r="CP64" s="736">
        <f t="shared" si="585"/>
        <v>15820218.099999998</v>
      </c>
      <c r="CQ64" s="736">
        <f t="shared" si="585"/>
        <v>15820218.099999998</v>
      </c>
      <c r="CR64" s="736">
        <f>CQ64</f>
        <v>15820218.099999998</v>
      </c>
      <c r="CS64" s="736">
        <f>CQ64-CS65</f>
        <v>15820218.099999998</v>
      </c>
      <c r="CT64" s="736">
        <f t="shared" ref="CT64:DD64" si="586">CS64-CT65</f>
        <v>15820218.099999998</v>
      </c>
      <c r="CU64" s="736">
        <f t="shared" si="586"/>
        <v>15820218.099999998</v>
      </c>
      <c r="CV64" s="736">
        <f t="shared" si="586"/>
        <v>15820218.099999998</v>
      </c>
      <c r="CW64" s="736">
        <f t="shared" si="586"/>
        <v>15820218.099999998</v>
      </c>
      <c r="CX64" s="736">
        <f t="shared" si="586"/>
        <v>15820218.099999998</v>
      </c>
      <c r="CY64" s="736">
        <f t="shared" si="586"/>
        <v>15820218.099999998</v>
      </c>
      <c r="CZ64" s="736">
        <f t="shared" si="586"/>
        <v>15820218.099999998</v>
      </c>
      <c r="DA64" s="736">
        <f t="shared" si="586"/>
        <v>15820218.099999998</v>
      </c>
      <c r="DB64" s="736">
        <f t="shared" si="586"/>
        <v>15820218.099999998</v>
      </c>
      <c r="DC64" s="736">
        <f t="shared" si="586"/>
        <v>15820218.099999998</v>
      </c>
      <c r="DD64" s="736">
        <f t="shared" si="586"/>
        <v>15820218.099999998</v>
      </c>
      <c r="DE64" s="736">
        <f>DD64</f>
        <v>15820218.099999998</v>
      </c>
      <c r="DF64" s="736">
        <f>DD64-DF65</f>
        <v>15820218.099999998</v>
      </c>
      <c r="DG64" s="736">
        <f t="shared" ref="DG64:DQ64" si="587">DF64-DG65</f>
        <v>15820218.099999998</v>
      </c>
      <c r="DH64" s="736">
        <f t="shared" si="587"/>
        <v>15820218.099999998</v>
      </c>
      <c r="DI64" s="736">
        <f t="shared" si="587"/>
        <v>15820218.099999998</v>
      </c>
      <c r="DJ64" s="736">
        <f t="shared" si="587"/>
        <v>15820218.099999998</v>
      </c>
      <c r="DK64" s="736">
        <f t="shared" si="587"/>
        <v>15820218.099999998</v>
      </c>
      <c r="DL64" s="736">
        <f t="shared" si="587"/>
        <v>15820218.099999998</v>
      </c>
      <c r="DM64" s="736">
        <f t="shared" si="587"/>
        <v>15820218.099999998</v>
      </c>
      <c r="DN64" s="736">
        <f t="shared" si="587"/>
        <v>15820218.099999998</v>
      </c>
      <c r="DO64" s="736">
        <f t="shared" si="587"/>
        <v>15820218.099999998</v>
      </c>
      <c r="DP64" s="736">
        <f t="shared" si="587"/>
        <v>15820218.099999998</v>
      </c>
      <c r="DQ64" s="736">
        <f t="shared" si="587"/>
        <v>15820218.099999998</v>
      </c>
      <c r="DR64" s="736">
        <f>DQ64</f>
        <v>15820218.099999998</v>
      </c>
      <c r="DS64" s="736">
        <f>DQ64-DS65</f>
        <v>15820218.099999998</v>
      </c>
      <c r="DT64" s="736">
        <f t="shared" ref="DT64:ED64" si="588">DS64-DT65</f>
        <v>15820218.099999998</v>
      </c>
      <c r="DU64" s="736">
        <f t="shared" si="588"/>
        <v>15820218.099999998</v>
      </c>
      <c r="DV64" s="736">
        <f t="shared" si="588"/>
        <v>15820218.099999998</v>
      </c>
      <c r="DW64" s="736">
        <f t="shared" si="588"/>
        <v>15820218.099999998</v>
      </c>
      <c r="DX64" s="736">
        <f t="shared" si="588"/>
        <v>15820218.099999998</v>
      </c>
      <c r="DY64" s="736">
        <f t="shared" si="588"/>
        <v>15820218.099999998</v>
      </c>
      <c r="DZ64" s="736">
        <f t="shared" si="588"/>
        <v>15820218.099999998</v>
      </c>
      <c r="EA64" s="736">
        <f t="shared" si="588"/>
        <v>15820218.099999998</v>
      </c>
      <c r="EB64" s="736">
        <f t="shared" si="588"/>
        <v>15820218.099999998</v>
      </c>
      <c r="EC64" s="736">
        <f t="shared" si="588"/>
        <v>15820218.099999998</v>
      </c>
      <c r="ED64" s="736">
        <f t="shared" si="588"/>
        <v>15820218.099999998</v>
      </c>
      <c r="EE64" s="737">
        <f>ED64</f>
        <v>15820218.099999998</v>
      </c>
      <c r="EF64" s="11"/>
      <c r="EG64" s="11"/>
      <c r="EH64" s="11"/>
      <c r="EI64" s="11"/>
    </row>
    <row r="65" spans="6:139">
      <c r="F65" s="12"/>
      <c r="G65" s="12"/>
      <c r="H65" s="12"/>
      <c r="I65" s="12"/>
      <c r="J65" s="12"/>
      <c r="K65" s="12"/>
      <c r="L65" s="12"/>
      <c r="M65" s="12"/>
      <c r="N65" s="12"/>
      <c r="O65" s="12"/>
      <c r="P65" s="12"/>
      <c r="Q65" s="12"/>
      <c r="R65" s="106"/>
      <c r="S65" s="12"/>
      <c r="T65" s="12"/>
      <c r="U65" s="12"/>
      <c r="V65" s="12"/>
      <c r="W65" s="12"/>
      <c r="X65" s="12"/>
      <c r="Y65" s="12"/>
      <c r="Z65" s="12"/>
      <c r="AA65" s="12"/>
      <c r="AB65" s="12"/>
      <c r="AC65" s="12"/>
      <c r="AD65" s="12"/>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1"/>
      <c r="EG65" s="11"/>
      <c r="EH65" s="11"/>
      <c r="EI65" s="11"/>
    </row>
    <row r="66" spans="6:139">
      <c r="F66" s="12"/>
      <c r="G66" s="12"/>
      <c r="H66" s="12"/>
      <c r="I66" s="12"/>
      <c r="J66" s="12"/>
      <c r="K66" s="12"/>
      <c r="L66" s="12"/>
      <c r="M66" s="12"/>
      <c r="N66" s="12"/>
      <c r="O66" s="12"/>
      <c r="P66" s="12"/>
      <c r="Q66" s="12"/>
      <c r="R66" s="106"/>
      <c r="S66" s="105"/>
      <c r="T66" s="105"/>
      <c r="U66" s="105"/>
      <c r="V66" s="105"/>
      <c r="W66" s="105"/>
      <c r="X66" s="105"/>
      <c r="Y66" s="105"/>
      <c r="Z66" s="105"/>
      <c r="AA66" s="105"/>
      <c r="AB66" s="105"/>
      <c r="AC66" s="105"/>
      <c r="AD66" s="105"/>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1"/>
      <c r="EG66" s="11"/>
      <c r="EH66" s="11"/>
      <c r="EI66" s="11"/>
    </row>
    <row r="67" spans="6:139">
      <c r="F67" s="12"/>
      <c r="G67" s="12"/>
      <c r="H67" s="12"/>
      <c r="I67" s="12"/>
      <c r="J67" s="12"/>
      <c r="K67" s="12"/>
      <c r="L67" s="12"/>
      <c r="M67" s="12"/>
      <c r="N67" s="12"/>
      <c r="O67" s="12"/>
      <c r="P67" s="12"/>
      <c r="Q67" s="12"/>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1"/>
      <c r="EG67" s="11"/>
      <c r="EH67" s="11"/>
      <c r="EI67" s="11"/>
    </row>
    <row r="68" spans="6:139">
      <c r="F68" s="11"/>
      <c r="G68" s="11"/>
      <c r="H68" s="93"/>
      <c r="I68" s="93"/>
      <c r="J68" s="93"/>
      <c r="K68" s="93"/>
      <c r="L68" s="6"/>
      <c r="R68" s="105"/>
      <c r="S68" s="12"/>
      <c r="T68" s="12"/>
      <c r="U68" s="12"/>
      <c r="V68" s="12"/>
      <c r="W68" s="12"/>
      <c r="X68" s="12"/>
      <c r="Y68" s="12"/>
      <c r="Z68" s="12"/>
      <c r="AA68" s="12"/>
      <c r="AB68" s="12"/>
      <c r="AC68" s="12"/>
      <c r="AD68" s="12"/>
      <c r="AE68" s="93"/>
      <c r="AF68" s="93"/>
      <c r="AG68" s="93"/>
      <c r="AH68" s="93"/>
      <c r="AI68" s="93"/>
      <c r="AJ68" s="93"/>
      <c r="AK68" s="93"/>
      <c r="AL68" s="93"/>
      <c r="AM68" s="93"/>
      <c r="AN68" s="93"/>
      <c r="AO68" s="93"/>
      <c r="AP68" s="93"/>
      <c r="AQ68" s="389">
        <f>AQ63*'Inputs &amp; Assumptions'!V66</f>
        <v>998819.74502365198</v>
      </c>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row>
    <row r="69" spans="6:139">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row>
    <row r="70" spans="6:139" ht="15.95" customHeight="1">
      <c r="F70" s="11"/>
      <c r="G70" s="11"/>
      <c r="H70" s="11"/>
      <c r="I70" s="11"/>
      <c r="J70" s="11"/>
      <c r="K70" s="11"/>
      <c r="R70" s="12"/>
      <c r="S70" s="12"/>
      <c r="T70" s="12"/>
      <c r="U70" s="12"/>
      <c r="V70" s="12"/>
      <c r="W70" s="12"/>
      <c r="X70" s="12"/>
      <c r="Y70" s="12"/>
      <c r="Z70" s="12"/>
      <c r="AA70" s="12"/>
      <c r="AB70" s="12"/>
      <c r="AC70" s="12"/>
      <c r="AD70" s="296"/>
      <c r="AE70" s="12"/>
      <c r="AF70" s="12"/>
      <c r="AG70" s="12"/>
      <c r="AH70" s="12"/>
      <c r="AI70" s="12"/>
      <c r="AJ70" s="12"/>
      <c r="AK70" s="296"/>
      <c r="AL70" s="295"/>
      <c r="AM70" s="295"/>
      <c r="AN70" s="295"/>
      <c r="AO70" s="295"/>
      <c r="AP70" s="295"/>
      <c r="AQ70" s="295"/>
      <c r="AR70" s="12"/>
      <c r="AS70" s="12"/>
      <c r="AT70" s="12"/>
      <c r="AU70" s="12"/>
      <c r="AV70" s="12"/>
      <c r="AW70" s="12"/>
      <c r="AX70" s="12"/>
      <c r="AY70" s="1267"/>
      <c r="AZ70" s="1267"/>
      <c r="BA70" s="1267"/>
      <c r="BB70" s="1267"/>
      <c r="BC70" s="1267"/>
      <c r="BD70" s="1267"/>
      <c r="BE70" s="12"/>
      <c r="BF70" s="12"/>
      <c r="BG70" s="12"/>
      <c r="BH70" s="12"/>
      <c r="BI70" s="12"/>
      <c r="BJ70" s="12"/>
      <c r="BK70" s="12"/>
      <c r="BL70" s="1267"/>
      <c r="BM70" s="1267"/>
      <c r="BN70" s="1267"/>
      <c r="BO70" s="1267"/>
      <c r="BP70" s="1267"/>
      <c r="BQ70" s="1267"/>
      <c r="BR70" s="12"/>
      <c r="BS70" s="12"/>
      <c r="BT70" s="12"/>
      <c r="BU70" s="12"/>
      <c r="BV70" s="12"/>
      <c r="BW70" s="12"/>
      <c r="BX70" s="12"/>
      <c r="BY70" s="1267"/>
      <c r="BZ70" s="1267"/>
      <c r="CA70" s="1267"/>
      <c r="CB70" s="1267"/>
      <c r="CC70" s="1267"/>
      <c r="CD70" s="1267"/>
      <c r="CE70" s="12"/>
      <c r="CF70" s="12"/>
      <c r="CG70" s="12"/>
      <c r="CH70" s="12"/>
      <c r="CI70" s="12"/>
      <c r="CJ70" s="12"/>
      <c r="CK70" s="12"/>
      <c r="CL70" s="1267"/>
      <c r="CM70" s="1267"/>
      <c r="CN70" s="1267"/>
      <c r="CO70" s="1267"/>
      <c r="CP70" s="1267"/>
      <c r="CQ70" s="1267"/>
      <c r="CR70" s="12"/>
      <c r="CS70" s="12"/>
      <c r="CT70" s="12"/>
      <c r="CU70" s="12"/>
      <c r="CV70" s="12"/>
      <c r="CW70" s="12"/>
      <c r="CX70" s="12"/>
      <c r="CY70" s="1267"/>
      <c r="CZ70" s="1267"/>
      <c r="DA70" s="1267"/>
      <c r="DB70" s="1267"/>
      <c r="DC70" s="1267"/>
      <c r="DD70" s="1267"/>
      <c r="DE70" s="12"/>
      <c r="DF70" s="12"/>
      <c r="DG70" s="12"/>
      <c r="DH70" s="12"/>
      <c r="DI70" s="12"/>
      <c r="DJ70" s="12"/>
      <c r="DK70" s="12"/>
      <c r="DL70" s="1267"/>
      <c r="DM70" s="1267"/>
      <c r="DN70" s="1267"/>
      <c r="DO70" s="1267"/>
      <c r="DP70" s="1267"/>
      <c r="DQ70" s="1267"/>
      <c r="DR70" s="12"/>
      <c r="DS70" s="12"/>
      <c r="DT70" s="12"/>
      <c r="DU70" s="12"/>
      <c r="DV70" s="12"/>
      <c r="DW70" s="12"/>
      <c r="DX70" s="12"/>
      <c r="DY70" s="1267"/>
      <c r="DZ70" s="1267"/>
      <c r="EA70" s="1267"/>
      <c r="EB70" s="1267"/>
      <c r="EC70" s="1267"/>
      <c r="ED70" s="1267"/>
      <c r="EE70" s="12"/>
    </row>
    <row r="71" spans="6:139">
      <c r="F71" s="11"/>
      <c r="G71" s="11"/>
      <c r="H71" s="11"/>
      <c r="I71" s="11"/>
      <c r="J71" s="11"/>
      <c r="K71" s="11"/>
      <c r="R71" s="12"/>
      <c r="AE71" s="12"/>
      <c r="AK71" s="203"/>
      <c r="AL71" s="203"/>
      <c r="AM71" s="203"/>
      <c r="AN71" s="203"/>
      <c r="AO71" s="1265"/>
      <c r="AP71" s="1265"/>
      <c r="AQ71" s="203"/>
      <c r="AR71" s="12"/>
      <c r="AY71" s="203"/>
      <c r="AZ71" s="203"/>
      <c r="BA71" s="203"/>
      <c r="BB71" s="1265"/>
      <c r="BC71" s="1265"/>
      <c r="BD71" s="203"/>
      <c r="BE71" s="12"/>
      <c r="BL71" s="203"/>
      <c r="BM71" s="203"/>
      <c r="BN71" s="203"/>
      <c r="BO71" s="1265"/>
      <c r="BP71" s="1265"/>
      <c r="BQ71" s="203"/>
      <c r="BR71" s="12"/>
      <c r="BY71" s="203"/>
      <c r="BZ71" s="203"/>
      <c r="CA71" s="203"/>
      <c r="CB71" s="1265"/>
      <c r="CC71" s="1265"/>
      <c r="CD71" s="203"/>
      <c r="CL71" s="203"/>
      <c r="CM71" s="203"/>
      <c r="CN71" s="203"/>
      <c r="CO71" s="1265"/>
      <c r="CP71" s="1265"/>
      <c r="CQ71" s="203"/>
      <c r="CY71" s="203"/>
      <c r="CZ71" s="203"/>
      <c r="DA71" s="203"/>
      <c r="DB71" s="1265"/>
      <c r="DC71" s="1265"/>
      <c r="DD71" s="203"/>
      <c r="DE71" s="12"/>
      <c r="DL71" s="203"/>
      <c r="DM71" s="203"/>
      <c r="DN71" s="203"/>
      <c r="DO71" s="1265"/>
      <c r="DP71" s="1265"/>
      <c r="DQ71" s="203"/>
      <c r="DR71" s="12"/>
      <c r="DY71" s="203"/>
      <c r="DZ71" s="203"/>
      <c r="EA71" s="203"/>
      <c r="EB71" s="1265"/>
      <c r="EC71" s="1265"/>
      <c r="ED71" s="203"/>
      <c r="EE71" s="12"/>
    </row>
    <row r="72" spans="6:139">
      <c r="F72" s="11"/>
      <c r="G72" s="12"/>
      <c r="H72" s="12"/>
      <c r="I72" s="12"/>
      <c r="J72" s="12"/>
      <c r="K72" s="12"/>
      <c r="AK72" s="6"/>
      <c r="AL72" s="6"/>
      <c r="AN72" s="12"/>
      <c r="AO72" s="1262"/>
      <c r="AP72" s="1262"/>
      <c r="AQ72" s="12"/>
      <c r="AR72" s="37"/>
      <c r="AY72" s="6"/>
      <c r="BA72" s="12"/>
      <c r="BB72" s="1262"/>
      <c r="BC72" s="1262"/>
      <c r="BD72" s="12"/>
      <c r="BE72" s="12"/>
      <c r="BL72" s="6"/>
      <c r="BN72" s="12"/>
      <c r="BO72" s="1262"/>
      <c r="BP72" s="1262"/>
      <c r="BQ72" s="12"/>
      <c r="BR72" s="12"/>
      <c r="BY72" s="6"/>
      <c r="CA72" s="12"/>
      <c r="CB72" s="1262"/>
      <c r="CC72" s="1262"/>
      <c r="CD72" s="12"/>
      <c r="CE72" s="12"/>
      <c r="CL72" s="6"/>
      <c r="CN72" s="12"/>
      <c r="CO72" s="1262"/>
      <c r="CP72" s="1262"/>
      <c r="CQ72" s="12"/>
      <c r="CR72" s="12"/>
      <c r="CY72" s="6"/>
      <c r="DA72" s="12"/>
      <c r="DB72" s="1262"/>
      <c r="DC72" s="1262"/>
      <c r="DD72" s="12"/>
      <c r="DE72" s="12"/>
      <c r="DL72" s="6"/>
      <c r="DN72" s="12"/>
      <c r="DO72" s="1262"/>
      <c r="DP72" s="1262"/>
      <c r="DQ72" s="12"/>
      <c r="DR72" s="12"/>
      <c r="DY72" s="6"/>
      <c r="EA72" s="12"/>
      <c r="EB72" s="1262"/>
      <c r="EC72" s="1262"/>
      <c r="ED72" s="12"/>
    </row>
    <row r="73" spans="6:139">
      <c r="F73" s="11"/>
      <c r="G73" s="19"/>
      <c r="H73" s="330"/>
      <c r="I73" s="19"/>
      <c r="J73" s="329"/>
      <c r="K73" s="329"/>
      <c r="M73" s="16"/>
      <c r="AK73" s="6"/>
      <c r="AL73" s="6"/>
      <c r="AN73" s="12"/>
      <c r="AO73" s="1262"/>
      <c r="AP73" s="1262"/>
      <c r="AQ73" s="12"/>
      <c r="AR73" s="31"/>
      <c r="AY73" s="6"/>
      <c r="BA73" s="12"/>
      <c r="BB73" s="1262"/>
      <c r="BC73" s="1262"/>
      <c r="BD73" s="12"/>
      <c r="BE73" s="29"/>
      <c r="BL73" s="6"/>
      <c r="BN73" s="12"/>
      <c r="BO73" s="1262"/>
      <c r="BP73" s="1262"/>
      <c r="BQ73" s="12"/>
      <c r="BR73" s="12"/>
      <c r="BY73" s="6"/>
      <c r="CA73" s="12"/>
      <c r="CB73" s="1262"/>
      <c r="CC73" s="1262"/>
      <c r="CD73" s="12"/>
      <c r="CE73" s="12"/>
      <c r="CL73" s="6"/>
      <c r="CN73" s="12"/>
      <c r="CO73" s="1262"/>
      <c r="CP73" s="1262"/>
      <c r="CQ73" s="12"/>
      <c r="CR73" s="12"/>
      <c r="CY73" s="6"/>
      <c r="DA73" s="12"/>
      <c r="DB73" s="1262"/>
      <c r="DC73" s="1262"/>
      <c r="DD73" s="12"/>
      <c r="DE73" s="12"/>
      <c r="DL73" s="6"/>
      <c r="DN73" s="12"/>
      <c r="DO73" s="1262"/>
      <c r="DP73" s="1262"/>
      <c r="DQ73" s="12"/>
      <c r="DR73" s="12"/>
      <c r="DY73" s="6"/>
      <c r="EA73" s="12"/>
      <c r="EB73" s="1262"/>
      <c r="EC73" s="1262"/>
      <c r="ED73" s="12"/>
    </row>
    <row r="74" spans="6:139">
      <c r="F74" s="11"/>
      <c r="G74" s="20"/>
      <c r="H74" s="330"/>
      <c r="I74" s="20"/>
      <c r="J74" s="20"/>
      <c r="K74" s="330"/>
      <c r="M74" s="11"/>
      <c r="AE74" s="31"/>
      <c r="AK74" s="6"/>
      <c r="AL74" s="6"/>
      <c r="AN74" s="12"/>
      <c r="AO74" s="1262"/>
      <c r="AP74" s="1262"/>
      <c r="AQ74" s="12"/>
      <c r="AR74" s="31"/>
      <c r="AY74" s="6"/>
      <c r="BA74" s="12"/>
      <c r="BB74" s="1262"/>
      <c r="BC74" s="1262"/>
      <c r="BD74" s="12"/>
      <c r="BE74" s="12"/>
      <c r="BL74" s="6"/>
      <c r="BN74" s="12"/>
      <c r="BO74" s="1262"/>
      <c r="BP74" s="1262"/>
      <c r="BQ74" s="12"/>
      <c r="BR74" s="12"/>
      <c r="BY74" s="6"/>
      <c r="CA74" s="12"/>
      <c r="CB74" s="1262"/>
      <c r="CC74" s="1262"/>
      <c r="CD74" s="12"/>
      <c r="CE74" s="12"/>
      <c r="CL74" s="6"/>
      <c r="CN74" s="12"/>
      <c r="CO74" s="1262"/>
      <c r="CP74" s="1262"/>
      <c r="CQ74" s="12"/>
      <c r="CR74" s="12"/>
      <c r="CY74" s="6"/>
      <c r="DA74" s="12"/>
      <c r="DB74" s="1262"/>
      <c r="DC74" s="1262"/>
      <c r="DD74" s="12"/>
      <c r="DE74" s="12"/>
      <c r="DL74" s="6"/>
      <c r="DN74" s="12"/>
      <c r="DO74" s="1262"/>
      <c r="DP74" s="1262"/>
      <c r="DQ74" s="12"/>
      <c r="DR74" s="12"/>
      <c r="DY74" s="6"/>
      <c r="EA74" s="12"/>
      <c r="EB74" s="1262"/>
      <c r="EC74" s="1262"/>
      <c r="ED74" s="12"/>
    </row>
    <row r="75" spans="6:139" ht="15.95" customHeight="1">
      <c r="F75" s="11"/>
      <c r="H75" s="11"/>
      <c r="I75" s="11"/>
      <c r="K75" s="11"/>
      <c r="AK75" s="6"/>
      <c r="AL75" s="6"/>
      <c r="AN75" s="12"/>
      <c r="AO75" s="1262"/>
      <c r="AP75" s="1262"/>
      <c r="AQ75" s="12"/>
      <c r="AY75" s="6"/>
      <c r="BA75" s="12"/>
      <c r="BB75" s="1262"/>
      <c r="BC75" s="1262"/>
      <c r="BD75" s="12"/>
      <c r="BE75" s="12"/>
      <c r="BL75" s="6"/>
      <c r="BN75" s="12"/>
      <c r="BO75" s="1262"/>
      <c r="BP75" s="1262"/>
      <c r="BQ75" s="12"/>
      <c r="BR75" s="12"/>
      <c r="BY75" s="6"/>
      <c r="CA75" s="12"/>
      <c r="CB75" s="1262"/>
      <c r="CC75" s="1262"/>
      <c r="CD75" s="12"/>
      <c r="CE75" s="12"/>
      <c r="CL75" s="6"/>
      <c r="CN75" s="12"/>
      <c r="CO75" s="1262"/>
      <c r="CP75" s="1262"/>
      <c r="CQ75" s="12"/>
      <c r="CR75" s="12"/>
      <c r="CY75" s="6"/>
      <c r="DA75" s="12"/>
      <c r="DB75" s="1262"/>
      <c r="DC75" s="1262"/>
      <c r="DD75" s="12"/>
      <c r="DE75" s="12"/>
      <c r="DL75" s="6"/>
      <c r="DN75" s="12"/>
      <c r="DO75" s="1262"/>
      <c r="DP75" s="1262"/>
      <c r="DQ75" s="12"/>
      <c r="DR75" s="12"/>
      <c r="DY75" s="6"/>
      <c r="EA75" s="12"/>
      <c r="EB75" s="1262"/>
      <c r="EC75" s="1262"/>
      <c r="ED75" s="12"/>
    </row>
    <row r="76" spans="6:139">
      <c r="F76" s="11"/>
      <c r="H76" s="11"/>
      <c r="I76" s="11"/>
      <c r="K76" s="11"/>
      <c r="AE76" s="31"/>
      <c r="AK76" s="6"/>
      <c r="AL76" s="6"/>
      <c r="AN76" s="12"/>
      <c r="AO76" s="1262"/>
      <c r="AP76" s="1262"/>
      <c r="AQ76" s="12"/>
      <c r="AY76" s="6"/>
      <c r="BA76" s="12"/>
      <c r="BB76" s="1262"/>
      <c r="BC76" s="1262"/>
      <c r="BD76" s="12"/>
      <c r="BE76" s="12"/>
      <c r="BL76" s="6"/>
      <c r="BN76" s="12"/>
      <c r="BO76" s="1262"/>
      <c r="BP76" s="1262"/>
      <c r="BQ76" s="12"/>
      <c r="BR76" s="12"/>
      <c r="BY76" s="6"/>
      <c r="CA76" s="12"/>
      <c r="CB76" s="1262"/>
      <c r="CC76" s="1262"/>
      <c r="CD76" s="12"/>
      <c r="CE76" s="12"/>
      <c r="CL76" s="6"/>
      <c r="CN76" s="12"/>
      <c r="CO76" s="1262"/>
      <c r="CP76" s="1262"/>
      <c r="CQ76" s="12"/>
      <c r="CR76" s="12"/>
      <c r="CY76" s="6"/>
      <c r="DA76" s="12"/>
      <c r="DB76" s="1262"/>
      <c r="DC76" s="1262"/>
      <c r="DD76" s="12"/>
      <c r="DE76" s="12"/>
      <c r="DL76" s="6"/>
      <c r="DN76" s="12"/>
      <c r="DO76" s="1262"/>
      <c r="DP76" s="1262"/>
      <c r="DQ76" s="12"/>
      <c r="DR76" s="12"/>
      <c r="DY76" s="6"/>
      <c r="EA76" s="12"/>
      <c r="EB76" s="1262"/>
      <c r="EC76" s="1262"/>
      <c r="ED76" s="12"/>
    </row>
    <row r="77" spans="6:139">
      <c r="F77" s="11"/>
      <c r="G77" s="11"/>
      <c r="H77" s="11"/>
      <c r="I77" s="11"/>
      <c r="J77" s="11"/>
      <c r="K77" s="11"/>
      <c r="AK77" s="6"/>
      <c r="AL77" s="6"/>
      <c r="AM77" s="12"/>
      <c r="AN77" s="12"/>
      <c r="AO77" s="1262"/>
      <c r="AP77" s="1262"/>
      <c r="AQ77" s="12"/>
      <c r="AY77" s="6"/>
      <c r="AZ77" s="12"/>
      <c r="BA77" s="12"/>
      <c r="BB77" s="1262"/>
      <c r="BC77" s="1262"/>
      <c r="BD77" s="12"/>
      <c r="BE77" s="12"/>
      <c r="BL77" s="6"/>
      <c r="BM77" s="12"/>
      <c r="BN77" s="12"/>
      <c r="BO77" s="1262"/>
      <c r="BP77" s="1262"/>
      <c r="BQ77" s="12"/>
      <c r="BR77" s="12"/>
      <c r="BY77" s="6"/>
      <c r="BZ77" s="12"/>
      <c r="CA77" s="12"/>
      <c r="CB77" s="1262"/>
      <c r="CC77" s="1262"/>
      <c r="CD77" s="12"/>
      <c r="CE77" s="12"/>
      <c r="CL77" s="6"/>
      <c r="CM77" s="12"/>
      <c r="CN77" s="12"/>
      <c r="CO77" s="1262"/>
      <c r="CP77" s="1262"/>
      <c r="CQ77" s="12"/>
      <c r="CR77" s="12"/>
      <c r="CY77" s="6"/>
      <c r="CZ77" s="12"/>
      <c r="DA77" s="12"/>
      <c r="DB77" s="1262"/>
      <c r="DC77" s="1262"/>
      <c r="DD77" s="12"/>
      <c r="DE77" s="12"/>
      <c r="DL77" s="6"/>
      <c r="DM77" s="12"/>
      <c r="DN77" s="12"/>
      <c r="DO77" s="1262"/>
      <c r="DP77" s="1262"/>
      <c r="DQ77" s="12"/>
      <c r="DR77" s="12"/>
      <c r="DY77" s="6"/>
      <c r="DZ77" s="12"/>
      <c r="EA77" s="12"/>
      <c r="EB77" s="1262"/>
      <c r="EC77" s="1262"/>
      <c r="ED77" s="12"/>
    </row>
    <row r="78" spans="6:139">
      <c r="F78" s="11"/>
      <c r="G78" s="11"/>
      <c r="H78" s="11"/>
      <c r="I78" s="11"/>
      <c r="J78" s="11"/>
      <c r="K78" s="11"/>
      <c r="AK78" s="11"/>
      <c r="AL78" s="11"/>
      <c r="AM78" s="12"/>
      <c r="AN78" s="12"/>
      <c r="AO78" s="1262"/>
      <c r="AP78" s="1262"/>
      <c r="AQ78" s="12"/>
      <c r="AY78" s="11"/>
      <c r="AZ78" s="12"/>
      <c r="BA78" s="12"/>
      <c r="BB78" s="1262"/>
      <c r="BC78" s="1262"/>
      <c r="BD78" s="12"/>
      <c r="BE78" s="12"/>
      <c r="BL78" s="11"/>
      <c r="BM78" s="12"/>
      <c r="BN78" s="12"/>
      <c r="BO78" s="1262"/>
      <c r="BP78" s="1262"/>
      <c r="BQ78" s="12"/>
      <c r="BR78" s="12"/>
      <c r="BY78" s="11"/>
      <c r="BZ78" s="12"/>
      <c r="CA78" s="12"/>
      <c r="CB78" s="1262"/>
      <c r="CC78" s="1262"/>
      <c r="CD78" s="12"/>
      <c r="CE78" s="12"/>
      <c r="CL78" s="11"/>
      <c r="CM78" s="12"/>
      <c r="CN78" s="12"/>
      <c r="CO78" s="1262"/>
      <c r="CP78" s="1262"/>
      <c r="CQ78" s="12"/>
      <c r="CR78" s="12"/>
      <c r="CY78" s="11"/>
      <c r="CZ78" s="12"/>
      <c r="DA78" s="12"/>
      <c r="DB78" s="1262"/>
      <c r="DC78" s="1262"/>
      <c r="DD78" s="12"/>
      <c r="DE78" s="12"/>
      <c r="DL78" s="11"/>
      <c r="DM78" s="12"/>
      <c r="DN78" s="12"/>
      <c r="DO78" s="1262"/>
      <c r="DP78" s="1262"/>
      <c r="DQ78" s="12"/>
      <c r="DR78" s="12"/>
      <c r="DY78" s="11"/>
      <c r="DZ78" s="12"/>
      <c r="EA78" s="12"/>
      <c r="EB78" s="1262"/>
      <c r="EC78" s="1262"/>
      <c r="ED78" s="12"/>
    </row>
    <row r="79" spans="6:139">
      <c r="F79" s="11"/>
      <c r="G79" s="11"/>
      <c r="H79" s="11"/>
      <c r="I79" s="11"/>
      <c r="J79" s="11"/>
      <c r="K79" s="11"/>
    </row>
    <row r="80" spans="6:139" ht="15.95" customHeight="1">
      <c r="F80" s="11"/>
      <c r="G80" s="11"/>
      <c r="H80" s="11"/>
      <c r="I80" s="11"/>
      <c r="J80" s="11"/>
      <c r="K80" s="11"/>
      <c r="AK80" s="1266"/>
      <c r="AL80" s="1266"/>
      <c r="AM80" s="1266"/>
      <c r="AN80" s="1266"/>
      <c r="AO80" s="1266"/>
      <c r="AP80" s="1266"/>
      <c r="AY80" s="1266"/>
      <c r="AZ80" s="1266"/>
      <c r="BA80" s="1266"/>
      <c r="BB80" s="1266"/>
      <c r="BC80" s="1266"/>
      <c r="BL80" s="1266"/>
      <c r="BM80" s="1266"/>
      <c r="BN80" s="1266"/>
      <c r="BO80" s="1266"/>
      <c r="BP80" s="1266"/>
      <c r="BY80" s="1266"/>
      <c r="BZ80" s="1266"/>
      <c r="CA80" s="1266"/>
      <c r="CB80" s="1266"/>
      <c r="CC80" s="1266"/>
      <c r="CL80" s="1266"/>
      <c r="CM80" s="1266"/>
      <c r="CN80" s="1266"/>
      <c r="CO80" s="1266"/>
      <c r="CP80" s="1266"/>
      <c r="CY80" s="1266"/>
      <c r="CZ80" s="1266"/>
      <c r="DA80" s="1266"/>
      <c r="DB80" s="1266"/>
      <c r="DC80" s="1266"/>
      <c r="DL80" s="1266"/>
      <c r="DM80" s="1266"/>
      <c r="DN80" s="1266"/>
      <c r="DO80" s="1266"/>
      <c r="DP80" s="1266"/>
      <c r="DY80" s="1266"/>
      <c r="DZ80" s="1266"/>
      <c r="EA80" s="1266"/>
      <c r="EB80" s="1266"/>
      <c r="EC80" s="1266"/>
    </row>
    <row r="81" spans="6:133">
      <c r="F81" s="11"/>
      <c r="G81" s="11"/>
      <c r="H81" s="11"/>
      <c r="I81" s="11"/>
      <c r="J81" s="11"/>
      <c r="K81" s="11"/>
      <c r="AK81" s="203"/>
      <c r="AL81" s="203"/>
      <c r="AM81" s="1265"/>
      <c r="AN81" s="1265"/>
      <c r="AO81" s="203"/>
      <c r="AP81" s="203"/>
      <c r="AY81" s="203"/>
      <c r="AZ81" s="1265"/>
      <c r="BA81" s="1265"/>
      <c r="BB81" s="203"/>
      <c r="BC81" s="203"/>
      <c r="BL81" s="203"/>
      <c r="BM81" s="1265"/>
      <c r="BN81" s="1265"/>
      <c r="BO81" s="203"/>
      <c r="BP81" s="203"/>
      <c r="BY81" s="203"/>
      <c r="BZ81" s="1265"/>
      <c r="CA81" s="1265"/>
      <c r="CB81" s="203"/>
      <c r="CC81" s="203"/>
      <c r="CL81" s="203"/>
      <c r="CM81" s="1265"/>
      <c r="CN81" s="1265"/>
      <c r="CO81" s="203"/>
      <c r="CP81" s="203"/>
      <c r="CY81" s="203"/>
      <c r="CZ81" s="1265"/>
      <c r="DA81" s="1265"/>
      <c r="DB81" s="203"/>
      <c r="DC81" s="203"/>
      <c r="DL81" s="203"/>
      <c r="DM81" s="1265"/>
      <c r="DN81" s="1265"/>
      <c r="DO81" s="203"/>
      <c r="DP81" s="203"/>
      <c r="DY81" s="203"/>
      <c r="DZ81" s="1265"/>
      <c r="EA81" s="1265"/>
      <c r="EB81" s="203"/>
      <c r="EC81" s="203"/>
    </row>
    <row r="82" spans="6:133">
      <c r="F82" s="11"/>
      <c r="G82" s="11"/>
      <c r="H82" s="11"/>
      <c r="I82" s="11"/>
      <c r="J82" s="11"/>
      <c r="K82" s="11"/>
      <c r="AK82" s="11"/>
      <c r="AL82" s="11"/>
      <c r="AM82" s="1262"/>
      <c r="AN82" s="1262"/>
      <c r="AO82" s="12"/>
      <c r="AP82" s="12"/>
      <c r="AY82" s="11"/>
      <c r="AZ82" s="1262"/>
      <c r="BA82" s="1262"/>
      <c r="BB82" s="12"/>
      <c r="BC82" s="12"/>
      <c r="BL82" s="11"/>
      <c r="BM82" s="1262"/>
      <c r="BN82" s="1262"/>
      <c r="BO82" s="12"/>
      <c r="BP82" s="12"/>
      <c r="BY82" s="11"/>
      <c r="BZ82" s="1262"/>
      <c r="CA82" s="1262"/>
      <c r="CB82" s="12"/>
      <c r="CC82" s="12"/>
      <c r="CL82" s="11"/>
      <c r="CM82" s="1262"/>
      <c r="CN82" s="1262"/>
      <c r="CO82" s="12"/>
      <c r="CP82" s="12"/>
      <c r="CY82" s="11"/>
      <c r="CZ82" s="1262"/>
      <c r="DA82" s="1262"/>
      <c r="DB82" s="12"/>
      <c r="DC82" s="12"/>
      <c r="DL82" s="11"/>
      <c r="DM82" s="1262"/>
      <c r="DN82" s="1262"/>
      <c r="DO82" s="12"/>
      <c r="DP82" s="12"/>
      <c r="DY82" s="11"/>
      <c r="DZ82" s="1262"/>
      <c r="EA82" s="1262"/>
      <c r="EB82" s="12"/>
      <c r="EC82" s="12"/>
    </row>
    <row r="83" spans="6:133">
      <c r="F83" s="11"/>
      <c r="G83" s="11"/>
      <c r="H83" s="11"/>
      <c r="I83" s="11"/>
      <c r="J83" s="11"/>
      <c r="K83" s="11"/>
      <c r="AK83" s="11"/>
      <c r="AL83" s="11"/>
      <c r="AM83" s="1262"/>
      <c r="AN83" s="1262"/>
      <c r="AO83" s="12"/>
      <c r="AP83" s="12"/>
      <c r="AY83" s="11"/>
      <c r="AZ83" s="1262"/>
      <c r="BA83" s="1262"/>
      <c r="BB83" s="12"/>
      <c r="BC83" s="12"/>
      <c r="BL83" s="11"/>
      <c r="BM83" s="1262"/>
      <c r="BN83" s="1262"/>
      <c r="BO83" s="12"/>
      <c r="BP83" s="12"/>
      <c r="BY83" s="11"/>
      <c r="BZ83" s="1262"/>
      <c r="CA83" s="1262"/>
      <c r="CB83" s="12"/>
      <c r="CC83" s="12"/>
      <c r="CL83" s="11"/>
      <c r="CM83" s="1262"/>
      <c r="CN83" s="1262"/>
      <c r="CO83" s="12"/>
      <c r="CP83" s="12"/>
      <c r="CY83" s="11"/>
      <c r="CZ83" s="1262"/>
      <c r="DA83" s="1262"/>
      <c r="DB83" s="12"/>
      <c r="DC83" s="12"/>
      <c r="DL83" s="11"/>
      <c r="DM83" s="1262"/>
      <c r="DN83" s="1262"/>
      <c r="DO83" s="12"/>
      <c r="DP83" s="12"/>
      <c r="DY83" s="11"/>
      <c r="DZ83" s="1262"/>
      <c r="EA83" s="1262"/>
      <c r="EB83" s="12"/>
      <c r="EC83" s="12"/>
    </row>
    <row r="84" spans="6:133">
      <c r="F84" s="11"/>
      <c r="G84" s="11"/>
      <c r="H84" s="11"/>
      <c r="I84" s="11"/>
      <c r="J84" s="11"/>
      <c r="K84" s="11"/>
      <c r="AK84" s="11"/>
      <c r="AL84" s="11"/>
      <c r="AM84" s="1262"/>
      <c r="AN84" s="1262"/>
      <c r="AO84" s="12"/>
      <c r="AP84" s="12"/>
      <c r="AY84" s="11"/>
      <c r="AZ84" s="1262"/>
      <c r="BA84" s="1262"/>
      <c r="BB84" s="12"/>
      <c r="BC84" s="12"/>
      <c r="BL84" s="11"/>
      <c r="BM84" s="1262"/>
      <c r="BN84" s="1262"/>
      <c r="BO84" s="12"/>
      <c r="BP84" s="12"/>
      <c r="BY84" s="11"/>
      <c r="BZ84" s="1262"/>
      <c r="CA84" s="1262"/>
      <c r="CB84" s="12"/>
      <c r="CC84" s="12"/>
      <c r="CL84" s="11"/>
      <c r="CM84" s="1262"/>
      <c r="CN84" s="1262"/>
      <c r="CO84" s="12"/>
      <c r="CP84" s="12"/>
      <c r="CY84" s="11"/>
      <c r="CZ84" s="1262"/>
      <c r="DA84" s="1262"/>
      <c r="DB84" s="12"/>
      <c r="DC84" s="12"/>
      <c r="DL84" s="11"/>
      <c r="DM84" s="1262"/>
      <c r="DN84" s="1262"/>
      <c r="DO84" s="12"/>
      <c r="DP84" s="12"/>
      <c r="DY84" s="11"/>
      <c r="DZ84" s="1262"/>
      <c r="EA84" s="1262"/>
      <c r="EB84" s="12"/>
      <c r="EC84" s="12"/>
    </row>
    <row r="85" spans="6:133">
      <c r="F85" s="11"/>
      <c r="G85" s="11"/>
      <c r="H85" s="11"/>
      <c r="I85" s="11"/>
      <c r="J85" s="11"/>
      <c r="K85" s="11"/>
      <c r="AK85" s="11"/>
      <c r="AL85" s="11"/>
      <c r="AM85" s="1262"/>
      <c r="AN85" s="1262"/>
      <c r="AO85" s="12"/>
      <c r="AP85" s="12"/>
      <c r="AY85" s="11"/>
      <c r="AZ85" s="1262"/>
      <c r="BA85" s="1262"/>
      <c r="BB85" s="12"/>
      <c r="BC85" s="12"/>
      <c r="BL85" s="11"/>
      <c r="BM85" s="1262"/>
      <c r="BN85" s="1262"/>
      <c r="BO85" s="12"/>
      <c r="BP85" s="12"/>
      <c r="BY85" s="11"/>
      <c r="BZ85" s="1262"/>
      <c r="CA85" s="1262"/>
      <c r="CB85" s="12"/>
      <c r="CC85" s="12"/>
      <c r="CL85" s="11"/>
      <c r="CM85" s="1262"/>
      <c r="CN85" s="1262"/>
      <c r="CO85" s="12"/>
      <c r="CP85" s="12"/>
      <c r="CY85" s="11"/>
      <c r="CZ85" s="1262"/>
      <c r="DA85" s="1262"/>
      <c r="DB85" s="12"/>
      <c r="DC85" s="12"/>
      <c r="DL85" s="11"/>
      <c r="DM85" s="1262"/>
      <c r="DN85" s="1262"/>
      <c r="DO85" s="12"/>
      <c r="DP85" s="12"/>
      <c r="DY85" s="11"/>
      <c r="DZ85" s="1262"/>
      <c r="EA85" s="1262"/>
      <c r="EB85" s="12"/>
      <c r="EC85" s="12"/>
    </row>
    <row r="86" spans="6:133" ht="15.95" customHeight="1">
      <c r="F86" s="11"/>
      <c r="G86" s="11"/>
      <c r="H86" s="11"/>
      <c r="I86" s="11"/>
      <c r="J86" s="11"/>
      <c r="K86" s="11"/>
      <c r="AK86" s="11"/>
      <c r="AL86" s="11"/>
      <c r="AM86" s="1264"/>
      <c r="AN86" s="1264"/>
      <c r="AO86" s="30"/>
      <c r="AP86" s="30"/>
      <c r="AY86" s="11"/>
      <c r="AZ86" s="1262"/>
      <c r="BA86" s="1263"/>
      <c r="BB86" s="12"/>
      <c r="BC86" s="12"/>
      <c r="BL86" s="11"/>
      <c r="BM86" s="1262"/>
      <c r="BN86" s="1263"/>
      <c r="BO86" s="12"/>
      <c r="BP86" s="12"/>
      <c r="BY86" s="11"/>
      <c r="BZ86" s="1262"/>
      <c r="CA86" s="1263"/>
      <c r="CB86" s="12"/>
      <c r="CC86" s="12"/>
      <c r="CL86" s="11"/>
      <c r="CM86" s="1262"/>
      <c r="CN86" s="1263"/>
      <c r="CO86" s="12"/>
      <c r="CP86" s="12"/>
      <c r="CY86" s="11"/>
      <c r="CZ86" s="1262"/>
      <c r="DA86" s="1263"/>
      <c r="DB86" s="12"/>
      <c r="DC86" s="12"/>
      <c r="DL86" s="11"/>
      <c r="DM86" s="1262"/>
      <c r="DN86" s="1263"/>
      <c r="DO86" s="12"/>
      <c r="DP86" s="12"/>
      <c r="DY86" s="11"/>
      <c r="DZ86" s="1262"/>
      <c r="EA86" s="1263"/>
      <c r="EB86" s="12"/>
      <c r="EC86" s="12"/>
    </row>
    <row r="87" spans="6:133">
      <c r="F87" s="11"/>
      <c r="G87" s="11"/>
      <c r="H87" s="11"/>
      <c r="I87" s="11"/>
      <c r="J87" s="11"/>
      <c r="K87" s="11"/>
      <c r="AQ87" s="11"/>
      <c r="AR87" s="11"/>
      <c r="AS87" s="1262"/>
      <c r="AT87" s="1262"/>
      <c r="AU87" s="12"/>
      <c r="AV87" s="12"/>
      <c r="AY87" s="11"/>
      <c r="AZ87" s="1264"/>
      <c r="BA87" s="1264"/>
      <c r="BB87" s="30"/>
      <c r="BC87" s="30"/>
      <c r="BL87" s="11"/>
      <c r="BM87" s="1262"/>
      <c r="BN87" s="1263"/>
      <c r="BO87" s="12"/>
      <c r="BP87" s="12"/>
      <c r="BY87" s="11"/>
      <c r="BZ87" s="1262"/>
      <c r="CA87" s="1263"/>
      <c r="CB87" s="12"/>
      <c r="CC87" s="12"/>
      <c r="CL87" s="11"/>
      <c r="CM87" s="1262"/>
      <c r="CN87" s="1263"/>
      <c r="CO87" s="12"/>
      <c r="CP87" s="12"/>
      <c r="CY87" s="11"/>
      <c r="CZ87" s="1262"/>
      <c r="DA87" s="1263"/>
      <c r="DB87" s="12"/>
      <c r="DC87" s="12"/>
      <c r="DL87" s="11"/>
      <c r="DM87" s="1262"/>
      <c r="DN87" s="1263"/>
      <c r="DO87" s="12"/>
      <c r="DP87" s="12"/>
      <c r="DY87" s="11"/>
      <c r="DZ87" s="1262"/>
      <c r="EA87" s="1263"/>
      <c r="EB87" s="12"/>
      <c r="EC87" s="12"/>
    </row>
    <row r="88" spans="6:133">
      <c r="F88" s="11"/>
      <c r="G88" s="11"/>
      <c r="H88" s="11"/>
      <c r="I88" s="11"/>
      <c r="J88" s="11"/>
      <c r="K88" s="11"/>
      <c r="BD88" s="11"/>
      <c r="BE88" s="11"/>
      <c r="BF88" s="1264"/>
      <c r="BG88" s="1264"/>
      <c r="BH88" s="30"/>
      <c r="BI88" s="30"/>
      <c r="BL88" s="11"/>
      <c r="BM88" s="1264"/>
      <c r="BN88" s="1264"/>
      <c r="BO88" s="30"/>
      <c r="BP88" s="30"/>
      <c r="BY88" s="11"/>
      <c r="BZ88" s="1262"/>
      <c r="CA88" s="1263"/>
      <c r="CB88" s="12"/>
      <c r="CC88" s="12"/>
      <c r="CL88" s="11"/>
      <c r="CM88" s="1262"/>
      <c r="CN88" s="1263"/>
      <c r="CO88" s="12"/>
      <c r="CP88" s="12"/>
      <c r="CY88" s="11"/>
      <c r="CZ88" s="1262"/>
      <c r="DA88" s="1263"/>
      <c r="DB88" s="12"/>
      <c r="DC88" s="12"/>
      <c r="DL88" s="11"/>
      <c r="DM88" s="1262"/>
      <c r="DN88" s="1263"/>
      <c r="DO88" s="12"/>
      <c r="DP88" s="12"/>
      <c r="DY88" s="11"/>
      <c r="DZ88" s="1262"/>
      <c r="EA88" s="1263"/>
      <c r="EB88" s="12"/>
      <c r="EC88" s="12"/>
    </row>
    <row r="89" spans="6:133">
      <c r="F89" s="11"/>
      <c r="G89" s="11"/>
      <c r="H89" s="11"/>
      <c r="I89" s="11"/>
      <c r="J89" s="11"/>
      <c r="K89" s="11"/>
      <c r="BY89" s="11"/>
      <c r="BZ89" s="1264"/>
      <c r="CA89" s="1264"/>
      <c r="CB89" s="30"/>
      <c r="CC89" s="30"/>
      <c r="CL89" s="11"/>
      <c r="CM89" s="1262"/>
      <c r="CN89" s="1263"/>
      <c r="CO89" s="12"/>
      <c r="CP89" s="12"/>
      <c r="CY89" s="11"/>
      <c r="CZ89" s="1262"/>
      <c r="DA89" s="1263"/>
      <c r="DB89" s="12"/>
      <c r="DC89" s="12"/>
      <c r="DL89" s="11"/>
      <c r="DM89" s="1262"/>
      <c r="DN89" s="1263"/>
      <c r="DO89" s="12"/>
      <c r="DP89" s="12"/>
      <c r="DY89" s="11"/>
      <c r="DZ89" s="1262"/>
      <c r="EA89" s="1263"/>
      <c r="EB89" s="12"/>
      <c r="EC89" s="12"/>
    </row>
    <row r="90" spans="6:133">
      <c r="F90" s="11"/>
      <c r="G90" s="11"/>
      <c r="H90" s="11"/>
      <c r="I90" s="11"/>
      <c r="J90" s="11"/>
      <c r="K90" s="11"/>
      <c r="CL90" s="11"/>
      <c r="CM90" s="1264"/>
      <c r="CN90" s="1264"/>
      <c r="CO90" s="30"/>
      <c r="CP90" s="30"/>
      <c r="CY90" s="11"/>
      <c r="CZ90" s="1262"/>
      <c r="DA90" s="1263"/>
      <c r="DB90" s="12"/>
      <c r="DC90" s="12"/>
      <c r="DL90" s="11"/>
      <c r="DM90" s="1262"/>
      <c r="DN90" s="1263"/>
      <c r="DO90" s="12"/>
      <c r="DP90" s="12"/>
      <c r="DY90" s="11"/>
      <c r="DZ90" s="1262"/>
      <c r="EA90" s="1263"/>
      <c r="EB90" s="12"/>
      <c r="EC90" s="12"/>
    </row>
    <row r="91" spans="6:133">
      <c r="F91" s="11"/>
      <c r="G91" s="11"/>
      <c r="H91" s="11"/>
      <c r="I91" s="11"/>
      <c r="J91" s="11"/>
      <c r="K91" s="11"/>
      <c r="CY91" s="11"/>
      <c r="CZ91" s="1264"/>
      <c r="DA91" s="1264"/>
      <c r="DB91" s="30"/>
      <c r="DC91" s="30"/>
      <c r="DL91" s="11"/>
      <c r="DM91" s="1262"/>
      <c r="DN91" s="1263"/>
      <c r="DO91" s="12"/>
      <c r="DP91" s="12"/>
      <c r="DY91" s="11"/>
      <c r="DZ91" s="1262"/>
      <c r="EA91" s="1263"/>
      <c r="EB91" s="12"/>
      <c r="EC91" s="12"/>
    </row>
    <row r="92" spans="6:133">
      <c r="F92" s="11"/>
      <c r="G92" s="11"/>
      <c r="H92" s="11"/>
      <c r="I92" s="11"/>
      <c r="J92" s="11"/>
      <c r="K92" s="11"/>
      <c r="DL92" s="11"/>
      <c r="DM92" s="1264"/>
      <c r="DN92" s="1264"/>
      <c r="DO92" s="30"/>
      <c r="DP92" s="30"/>
      <c r="DY92" s="11"/>
      <c r="DZ92" s="1262"/>
      <c r="EA92" s="1263"/>
      <c r="EB92" s="12"/>
      <c r="EC92" s="12"/>
    </row>
    <row r="93" spans="6:133">
      <c r="F93" s="11"/>
      <c r="G93" s="11"/>
      <c r="H93" s="11"/>
      <c r="I93" s="11"/>
      <c r="J93" s="11"/>
      <c r="K93" s="11"/>
      <c r="DY93" s="11"/>
      <c r="DZ93" s="1264"/>
      <c r="EA93" s="1264"/>
      <c r="EB93" s="30"/>
      <c r="EC93" s="30"/>
    </row>
    <row r="94" spans="6:133">
      <c r="F94" s="11"/>
      <c r="G94" s="11"/>
      <c r="H94" s="11"/>
      <c r="I94" s="11"/>
      <c r="J94" s="11"/>
      <c r="K94" s="11"/>
    </row>
    <row r="95" spans="6:133">
      <c r="F95" s="11"/>
      <c r="G95" s="11"/>
      <c r="H95" s="11"/>
      <c r="I95" s="11"/>
      <c r="J95" s="11"/>
      <c r="K95" s="11"/>
    </row>
    <row r="96" spans="6:133">
      <c r="F96" s="11"/>
      <c r="G96" s="11"/>
      <c r="H96" s="11"/>
      <c r="I96" s="11"/>
      <c r="J96" s="11"/>
      <c r="K96" s="11"/>
    </row>
    <row r="97" spans="1:11">
      <c r="F97" s="11"/>
      <c r="G97" s="11"/>
      <c r="H97" s="11"/>
      <c r="I97" s="11"/>
      <c r="J97" s="11"/>
      <c r="K97" s="11"/>
    </row>
    <row r="98" spans="1:11">
      <c r="F98" s="11"/>
      <c r="G98" s="11"/>
      <c r="H98" s="11"/>
      <c r="I98" s="11"/>
      <c r="J98" s="11"/>
      <c r="K98" s="11"/>
    </row>
    <row r="99" spans="1:11">
      <c r="F99" s="11"/>
      <c r="G99" s="11"/>
      <c r="H99" s="11"/>
      <c r="I99" s="11"/>
      <c r="J99" s="11"/>
      <c r="K99" s="11"/>
    </row>
    <row r="100" spans="1:11">
      <c r="F100" s="11"/>
      <c r="G100" s="11"/>
      <c r="H100" s="11"/>
      <c r="I100" s="11"/>
      <c r="J100" s="11"/>
      <c r="K100" s="11"/>
    </row>
    <row r="101" spans="1:11">
      <c r="F101" s="11"/>
      <c r="G101" s="11"/>
      <c r="H101" s="11"/>
      <c r="I101" s="11"/>
      <c r="J101" s="11"/>
      <c r="K101" s="11"/>
    </row>
    <row r="102" spans="1:11">
      <c r="F102" s="11"/>
      <c r="G102" s="11"/>
      <c r="H102" s="11"/>
      <c r="I102" s="11"/>
      <c r="J102" s="11"/>
      <c r="K102" s="11"/>
    </row>
    <row r="103" spans="1:11">
      <c r="F103" s="11"/>
      <c r="G103" s="11"/>
      <c r="H103" s="11"/>
      <c r="I103" s="11"/>
      <c r="J103" s="11"/>
      <c r="K103" s="11"/>
    </row>
    <row r="107" spans="1:11" ht="20.25" hidden="1">
      <c r="A107" s="17" t="s">
        <v>325</v>
      </c>
    </row>
  </sheetData>
  <sheetProtection sort="0" autoFilter="0"/>
  <mergeCells count="157">
    <mergeCell ref="DL70:DQ70"/>
    <mergeCell ref="DL80:DP80"/>
    <mergeCell ref="DY70:ED70"/>
    <mergeCell ref="DY80:EC80"/>
    <mergeCell ref="BY70:CD70"/>
    <mergeCell ref="BY80:CC80"/>
    <mergeCell ref="CL70:CQ70"/>
    <mergeCell ref="CL80:CP80"/>
    <mergeCell ref="CY70:DD70"/>
    <mergeCell ref="CY80:DC80"/>
    <mergeCell ref="AY70:BD70"/>
    <mergeCell ref="AY80:BC80"/>
    <mergeCell ref="BL70:BQ70"/>
    <mergeCell ref="BL80:BP80"/>
    <mergeCell ref="AO76:AP76"/>
    <mergeCell ref="AO77:AP77"/>
    <mergeCell ref="AO78:AP78"/>
    <mergeCell ref="AO71:AP71"/>
    <mergeCell ref="AO72:AP72"/>
    <mergeCell ref="AO73:AP73"/>
    <mergeCell ref="AO74:AP74"/>
    <mergeCell ref="BO77:BP77"/>
    <mergeCell ref="BO78:BP78"/>
    <mergeCell ref="BO71:BP71"/>
    <mergeCell ref="BO72:BP72"/>
    <mergeCell ref="BO73:BP73"/>
    <mergeCell ref="BO74:BP74"/>
    <mergeCell ref="AZ85:BA85"/>
    <mergeCell ref="AZ87:BA87"/>
    <mergeCell ref="BF88:BG88"/>
    <mergeCell ref="AS87:AT87"/>
    <mergeCell ref="AM86:AN86"/>
    <mergeCell ref="BB71:BC71"/>
    <mergeCell ref="BB72:BC72"/>
    <mergeCell ref="BB73:BC73"/>
    <mergeCell ref="BB74:BC74"/>
    <mergeCell ref="BB75:BC75"/>
    <mergeCell ref="BB76:BC76"/>
    <mergeCell ref="BB77:BC77"/>
    <mergeCell ref="BB78:BC78"/>
    <mergeCell ref="AZ81:BA81"/>
    <mergeCell ref="AZ82:BA82"/>
    <mergeCell ref="AZ83:BA83"/>
    <mergeCell ref="AM81:AN81"/>
    <mergeCell ref="AM82:AN82"/>
    <mergeCell ref="AM83:AN83"/>
    <mergeCell ref="AM84:AN84"/>
    <mergeCell ref="AM85:AN85"/>
    <mergeCell ref="AO75:AP75"/>
    <mergeCell ref="AZ84:BA84"/>
    <mergeCell ref="AK80:AP80"/>
    <mergeCell ref="AZ86:BA86"/>
    <mergeCell ref="BM86:BN86"/>
    <mergeCell ref="BM87:BN87"/>
    <mergeCell ref="BM88:BN88"/>
    <mergeCell ref="CB71:CC71"/>
    <mergeCell ref="CB72:CC72"/>
    <mergeCell ref="CB73:CC73"/>
    <mergeCell ref="CB74:CC74"/>
    <mergeCell ref="CB75:CC75"/>
    <mergeCell ref="CB76:CC76"/>
    <mergeCell ref="CB77:CC77"/>
    <mergeCell ref="CB78:CC78"/>
    <mergeCell ref="BZ81:CA81"/>
    <mergeCell ref="BZ82:CA82"/>
    <mergeCell ref="BZ83:CA83"/>
    <mergeCell ref="BM81:BN81"/>
    <mergeCell ref="BM82:BN82"/>
    <mergeCell ref="BM83:BN83"/>
    <mergeCell ref="BM84:BN84"/>
    <mergeCell ref="BM85:BN85"/>
    <mergeCell ref="BO75:BP75"/>
    <mergeCell ref="BO76:BP76"/>
    <mergeCell ref="BZ88:CA88"/>
    <mergeCell ref="BZ84:CA84"/>
    <mergeCell ref="CZ82:DA82"/>
    <mergeCell ref="CZ83:DA83"/>
    <mergeCell ref="CM81:CN81"/>
    <mergeCell ref="CM82:CN82"/>
    <mergeCell ref="CM83:CN83"/>
    <mergeCell ref="CM84:CN84"/>
    <mergeCell ref="CM85:CN85"/>
    <mergeCell ref="DB71:DC71"/>
    <mergeCell ref="DB72:DC72"/>
    <mergeCell ref="DB73:DC73"/>
    <mergeCell ref="DB74:DC74"/>
    <mergeCell ref="DB75:DC75"/>
    <mergeCell ref="DB76:DC76"/>
    <mergeCell ref="DB77:DC77"/>
    <mergeCell ref="DB78:DC78"/>
    <mergeCell ref="CO75:CP75"/>
    <mergeCell ref="CO76:CP76"/>
    <mergeCell ref="CO77:CP77"/>
    <mergeCell ref="CO78:CP78"/>
    <mergeCell ref="CO71:CP71"/>
    <mergeCell ref="CO72:CP72"/>
    <mergeCell ref="CO73:CP73"/>
    <mergeCell ref="CO74:CP74"/>
    <mergeCell ref="CZ81:DA81"/>
    <mergeCell ref="DZ82:EA82"/>
    <mergeCell ref="DZ83:EA83"/>
    <mergeCell ref="DM81:DN81"/>
    <mergeCell ref="DM82:DN82"/>
    <mergeCell ref="DM83:DN83"/>
    <mergeCell ref="DM84:DN84"/>
    <mergeCell ref="DM85:DN85"/>
    <mergeCell ref="EB71:EC71"/>
    <mergeCell ref="EB72:EC72"/>
    <mergeCell ref="EB73:EC73"/>
    <mergeCell ref="EB74:EC74"/>
    <mergeCell ref="EB75:EC75"/>
    <mergeCell ref="EB76:EC76"/>
    <mergeCell ref="EB77:EC77"/>
    <mergeCell ref="EB78:EC78"/>
    <mergeCell ref="DO75:DP75"/>
    <mergeCell ref="DO76:DP76"/>
    <mergeCell ref="DO77:DP77"/>
    <mergeCell ref="DO78:DP78"/>
    <mergeCell ref="DO71:DP71"/>
    <mergeCell ref="DO72:DP72"/>
    <mergeCell ref="DO73:DP73"/>
    <mergeCell ref="DO74:DP74"/>
    <mergeCell ref="DZ81:EA81"/>
    <mergeCell ref="DZ84:EA84"/>
    <mergeCell ref="DZ85:EA85"/>
    <mergeCell ref="DZ86:EA86"/>
    <mergeCell ref="DZ87:EA87"/>
    <mergeCell ref="DZ88:EA88"/>
    <mergeCell ref="DM86:DN86"/>
    <mergeCell ref="DM87:DN87"/>
    <mergeCell ref="DM88:DN88"/>
    <mergeCell ref="CZ84:DA84"/>
    <mergeCell ref="CZ85:DA85"/>
    <mergeCell ref="CZ86:DA86"/>
    <mergeCell ref="CZ87:DA87"/>
    <mergeCell ref="CZ88:DA88"/>
    <mergeCell ref="BZ85:CA85"/>
    <mergeCell ref="DZ91:EA91"/>
    <mergeCell ref="DZ93:EA93"/>
    <mergeCell ref="DZ92:EA92"/>
    <mergeCell ref="CZ89:DA89"/>
    <mergeCell ref="CZ91:DA91"/>
    <mergeCell ref="CZ90:DA90"/>
    <mergeCell ref="DM89:DN89"/>
    <mergeCell ref="DM90:DN90"/>
    <mergeCell ref="DM92:DN92"/>
    <mergeCell ref="DM91:DN91"/>
    <mergeCell ref="BZ86:CA86"/>
    <mergeCell ref="BZ87:CA87"/>
    <mergeCell ref="DZ89:EA89"/>
    <mergeCell ref="DZ90:EA90"/>
    <mergeCell ref="CM90:CN90"/>
    <mergeCell ref="CM89:CN89"/>
    <mergeCell ref="CM86:CN86"/>
    <mergeCell ref="CM87:CN87"/>
    <mergeCell ref="CM88:CN88"/>
    <mergeCell ref="BZ89:CA89"/>
  </mergeCells>
  <pageMargins left="0.7" right="0.7" top="0.75" bottom="0.75" header="0.3" footer="0.3"/>
  <pageSetup orientation="portrait" r:id="rId1"/>
  <cellWatches>
    <cellWatch r="I6"/>
    <cellWatch r="I13"/>
    <cellWatch r="K8"/>
    <cellWatch r="G14"/>
    <cellWatch r="G17"/>
    <cellWatch r="G22"/>
    <cellWatch r="G21"/>
    <cellWatch r="G24"/>
    <cellWatch r="H12"/>
    <cellWatch r="K13"/>
    <cellWatch r="G20"/>
    <cellWatch r="G19"/>
    <cellWatch r="G18"/>
    <cellWatch r="H8"/>
    <cellWatch r="H6"/>
    <cellWatch r="G31"/>
    <cellWatch r="G30"/>
    <cellWatch r="G40"/>
    <cellWatch r="K6"/>
    <cellWatch r="H5"/>
    <cellWatch r="G29"/>
    <cellWatch r="I5"/>
    <cellWatch r="I8"/>
    <cellWatch r="R59"/>
    <cellWatch r="Q24"/>
    <cellWatch r="Q22"/>
    <cellWatch r="I14"/>
    <cellWatch r="Q19"/>
    <cellWatch r="Q18"/>
    <cellWatch r="Q17"/>
    <cellWatch r="I12"/>
    <cellWatch r="Q21"/>
    <cellWatch r="Q59"/>
    <cellWatch r="G28"/>
    <cellWatch r="G39"/>
    <cellWatch r="G38"/>
    <cellWatch r="G27"/>
    <cellWatch r="M15"/>
    <cellWatch r="M18"/>
    <cellWatch r="J6"/>
    <cellWatch r="J13"/>
    <cellWatch r="I2"/>
    <cellWatch r="M21"/>
    <cellWatch r="M25"/>
    <cellWatch r="H13"/>
    <cellWatch r="J8"/>
    <cellWatch r="F14"/>
    <cellWatch r="F17"/>
    <cellWatch r="F22"/>
    <cellWatch r="F21"/>
    <cellWatch r="F24"/>
    <cellWatch r="G12"/>
    <cellWatch r="F20"/>
    <cellWatch r="F19"/>
    <cellWatch r="F18"/>
    <cellWatch r="G8"/>
    <cellWatch r="G6"/>
    <cellWatch r="F31"/>
    <cellWatch r="F30"/>
    <cellWatch r="F40"/>
    <cellWatch r="G5"/>
    <cellWatch r="F29"/>
    <cellWatch r="P24"/>
    <cellWatch r="P22"/>
    <cellWatch r="H14"/>
    <cellWatch r="P19"/>
    <cellWatch r="P18"/>
    <cellWatch r="P17"/>
    <cellWatch r="P21"/>
    <cellWatch r="P59"/>
    <cellWatch r="F28"/>
    <cellWatch r="F39"/>
    <cellWatch r="F38"/>
    <cellWatch r="F27"/>
    <cellWatch r="L15"/>
    <cellWatch r="L18"/>
    <cellWatch r="G16"/>
    <cellWatch r="G25"/>
    <cellWatch r="G34"/>
    <cellWatch r="G32"/>
    <cellWatch r="R51"/>
    <cellWatch r="Q16"/>
    <cellWatch r="Q20"/>
    <cellWatch r="Q51"/>
    <cellWatch r="M17"/>
    <cellWatch r="Q57"/>
    <cellWatch r="R57"/>
    <cellWatch r="G41"/>
    <cellWatch r="Q25"/>
    <cellWatch r="G26"/>
    <cellWatch r="G36"/>
    <cellWatch r="G42"/>
    <cellWatch r="G43"/>
    <cellWatch r="M20"/>
    <cellWatch r="M24"/>
    <cellWatch r="K12"/>
    <cellWatch r="G15"/>
    <cellWatch r="K14"/>
    <cellWatch r="M16"/>
    <cellWatch r="M19"/>
    <cellWatch r="I15"/>
    <cellWatch r="R60"/>
    <cellWatch r="Q60"/>
    <cellWatch r="J14"/>
    <cellWatch r="I127"/>
    <cellWatch r="M129"/>
    <cellWatch r="M132"/>
    <cellWatch r="I128"/>
    <cellWatch r="G128"/>
    <cellWatch r="G131"/>
    <cellWatch r="G136"/>
    <cellWatch r="G135"/>
    <cellWatch r="K127"/>
    <cellWatch r="G134"/>
    <cellWatch r="G133"/>
    <cellWatch r="G132"/>
    <cellWatch r="G142"/>
    <cellWatch r="G141"/>
    <cellWatch r="G150"/>
    <cellWatch r="G149"/>
    <cellWatch r="G140"/>
    <cellWatch r="M22"/>
    <cellWatch r="M26"/>
    <cellWatch r="S57"/>
    <cellWatch r="S24"/>
    <cellWatch r="S22"/>
    <cellWatch r="S19"/>
    <cellWatch r="S18"/>
    <cellWatch r="S17"/>
    <cellWatch r="K5"/>
    <cellWatch r="S21"/>
    <cellWatch r="M8"/>
    <cellWatch r="I17"/>
    <cellWatch r="I22"/>
    <cellWatch r="I21"/>
    <cellWatch r="I24"/>
    <cellWatch r="J12"/>
    <cellWatch r="M13"/>
    <cellWatch r="I20"/>
    <cellWatch r="I19"/>
    <cellWatch r="I18"/>
    <cellWatch r="I31"/>
    <cellWatch r="I30"/>
    <cellWatch r="I40"/>
    <cellWatch r="M6"/>
    <cellWatch r="J5"/>
    <cellWatch r="I29"/>
    <cellWatch r="O15"/>
    <cellWatch r="O18"/>
    <cellWatch r="I28"/>
    <cellWatch r="I39"/>
    <cellWatch r="I38"/>
    <cellWatch r="I27"/>
    <cellWatch r="K2"/>
    <cellWatch r="T57"/>
    <cellWatch r="L6"/>
    <cellWatch r="L13"/>
    <cellWatch r="I25"/>
    <cellWatch r="I32"/>
    <cellWatch r="I41"/>
    <cellWatch r="T59"/>
    <cellWatch r="S25"/>
    <cellWatch r="S20"/>
    <cellWatch r="S59"/>
    <cellWatch r="I26"/>
    <cellWatch r="I36"/>
    <cellWatch r="I34"/>
    <cellWatch r="I42"/>
    <cellWatch r="I43"/>
    <cellWatch r="Q62"/>
    <cellWatch r="Q23"/>
    <cellWatch r="G23"/>
    <cellWatch r="R62"/>
    <cellWatch r="G37"/>
    <cellWatch r="Q26"/>
    <cellWatch r="F23"/>
    <cellWatch r="F25"/>
    <cellWatch r="F34"/>
    <cellWatch r="F32"/>
    <cellWatch r="F43"/>
    <cellWatch r="F41"/>
    <cellWatch r="P25"/>
    <cellWatch r="P23"/>
    <cellWatch r="P62"/>
    <cellWatch r="M23"/>
    <cellWatch r="I129"/>
    <cellWatch r="M131"/>
    <cellWatch r="M134"/>
    <cellWatch r="I130"/>
    <cellWatch r="G130"/>
    <cellWatch r="G138"/>
    <cellWatch r="G137"/>
    <cellWatch r="K129"/>
    <cellWatch r="G144"/>
    <cellWatch r="G143"/>
    <cellWatch r="G152"/>
    <cellWatch r="G151"/>
    <cellWatch r="M27"/>
    <cellWatch r="G46"/>
    <cellWatch r="G44"/>
    <cellWatch r="Q68"/>
    <cellWatch r="R68"/>
    <cellWatch r="R69"/>
    <cellWatch r="Q69"/>
    <cellWatch r="S60"/>
    <cellWatch r="S23"/>
    <cellWatch r="I23"/>
    <cellWatch r="T60"/>
    <cellWatch r="T62"/>
    <cellWatch r="S26"/>
    <cellWatch r="S62"/>
    <cellWatch r="I37"/>
    <cellWatch r="I46"/>
    <cellWatch r="I44"/>
    <cellWatch r="O20"/>
    <cellWatch r="F26"/>
    <cellWatch r="F37"/>
    <cellWatch r="F36"/>
    <cellWatch r="O25"/>
    <cellWatch r="F44"/>
    <cellWatch r="F42"/>
    <cellWatch r="Q31"/>
    <cellWatch r="G57"/>
    <cellWatch r="G69"/>
    <cellWatch r="G68"/>
    <cellWatch r="G77"/>
    <cellWatch r="G76"/>
    <cellWatch r="R93"/>
    <cellWatch r="Q93"/>
    <cellWatch r="G75"/>
    <cellWatch r="G74"/>
    <cellWatch r="G59"/>
    <cellWatch r="G71"/>
    <cellWatch r="G70"/>
    <cellWatch r="R87"/>
    <cellWatch r="Q87"/>
    <cellWatch r="M59"/>
    <cellWatch r="F57"/>
    <cellWatch r="F69"/>
    <cellWatch r="F68"/>
    <cellWatch r="F77"/>
    <cellWatch r="F76"/>
    <cellWatch r="P57"/>
    <cellWatch r="P93"/>
    <cellWatch r="F75"/>
    <cellWatch r="F74"/>
    <cellWatch r="L17"/>
    <cellWatch r="G78"/>
    <cellWatch r="R94"/>
    <cellWatch r="Q94"/>
    <cellWatch r="I162"/>
    <cellWatch r="M164"/>
    <cellWatch r="M167"/>
    <cellWatch r="I163"/>
    <cellWatch r="G163"/>
    <cellWatch r="G166"/>
    <cellWatch r="G171"/>
    <cellWatch r="G170"/>
    <cellWatch r="K162"/>
    <cellWatch r="G169"/>
    <cellWatch r="G168"/>
    <cellWatch r="G167"/>
    <cellWatch r="G177"/>
    <cellWatch r="G176"/>
    <cellWatch r="G185"/>
    <cellWatch r="G184"/>
    <cellWatch r="G175"/>
    <cellWatch r="M60"/>
    <cellWatch r="Q92"/>
    <cellWatch r="R92"/>
    <cellWatch r="G60"/>
    <cellWatch r="G72"/>
    <cellWatch r="G80"/>
    <cellWatch r="G79"/>
    <cellWatch r="M57"/>
    <cellWatch r="Q101"/>
    <cellWatch r="R101"/>
    <cellWatch r="R102"/>
    <cellWatch r="Q102"/>
    <cellWatch r="Q95"/>
    <cellWatch r="G13"/>
    <cellWatch r="D62"/>
    <cellWatch r="D16"/>
    <cellWatch r="D68"/>
    <cellWatch r="D75"/>
    <cellWatch r="D74"/>
    <cellWatch r="F12"/>
    <cellWatch r="F8"/>
    <cellWatch r="F6"/>
    <cellWatch r="F5"/>
    <cellWatch r="D69"/>
    <cellWatch r="D76"/>
    <cellWatch r="P89"/>
    <cellWatch r="O17"/>
    <cellWatch r="O16"/>
    <cellWatch r="D59"/>
    <cellWatch r="D57"/>
    <cellWatch r="D71"/>
    <cellWatch r="D70"/>
    <cellWatch r="D5"/>
    <cellWatch r="O89"/>
    <cellWatch r="D73"/>
    <cellWatch r="K15"/>
    <cellWatch r="K17"/>
    <cellWatch r="D18"/>
    <cellWatch r="G2"/>
    <cellWatch r="D17"/>
    <cellWatch r="D60"/>
    <cellWatch r="D72"/>
    <cellWatch r="P84"/>
    <cellWatch r="D105"/>
    <cellWatch r="O84"/>
    <cellWatch r="K16"/>
    <cellWatch r="D77"/>
    <cellWatch r="F15"/>
    <cellWatch r="F13"/>
    <cellWatch r="P90"/>
    <cellWatch r="O57"/>
    <cellWatch r="O90"/>
    <cellWatch r="D14"/>
    <cellWatch r="D15"/>
    <cellWatch r="D13"/>
    <cellWatch r="C62"/>
    <cellWatch r="C16"/>
    <cellWatch r="D12"/>
    <cellWatch r="D8"/>
    <cellWatch r="C68"/>
    <cellWatch r="C75"/>
    <cellWatch r="C74"/>
    <cellWatch r="D6"/>
    <cellWatch r="C69"/>
    <cellWatch r="C76"/>
    <cellWatch r="N17"/>
    <cellWatch r="N16"/>
    <cellWatch r="C59"/>
    <cellWatch r="C57"/>
    <cellWatch r="C71"/>
    <cellWatch r="C70"/>
    <cellWatch r="C5"/>
    <cellWatch r="D111"/>
    <cellWatch r="N89"/>
    <cellWatch r="C18"/>
    <cellWatch r="C73"/>
    <cellWatch r="J15"/>
    <cellWatch r="D112"/>
    <cellWatch r="K57"/>
    <cellWatch r="G158"/>
    <cellWatch r="K160"/>
    <cellWatch r="K163"/>
    <cellWatch r="G159"/>
    <cellWatch r="F159"/>
    <cellWatch r="F162"/>
    <cellWatch r="F167"/>
    <cellWatch r="F166"/>
    <cellWatch r="I158"/>
    <cellWatch r="F165"/>
    <cellWatch r="F164"/>
    <cellWatch r="F163"/>
    <cellWatch r="F173"/>
    <cellWatch r="F172"/>
    <cellWatch r="F181"/>
    <cellWatch r="F180"/>
    <cellWatch r="F171"/>
    <cellWatch r="K59"/>
    <cellWatch r="D79"/>
    <cellWatch r="D80"/>
    <cellWatch r="F59"/>
    <cellWatch r="F60"/>
    <cellWatch r="F71"/>
    <cellWatch r="F70"/>
    <cellWatch r="F72"/>
    <cellWatch r="F79"/>
    <cellWatch r="F78"/>
    <cellWatch r="F87"/>
    <cellWatch r="F86"/>
    <cellWatch r="S92"/>
    <cellWatch r="I57"/>
    <cellWatch r="I69"/>
    <cellWatch r="I68"/>
    <cellWatch r="I77"/>
    <cellWatch r="I76"/>
    <cellWatch r="I75"/>
    <cellWatch r="I74"/>
    <cellWatch r="T92"/>
    <cellWatch r="I59"/>
    <cellWatch r="I70"/>
    <cellWatch r="I78"/>
    <cellWatch r="T93"/>
    <cellWatch r="S93"/>
    <cellWatch r="I60"/>
    <cellWatch r="I72"/>
    <cellWatch r="I71"/>
    <cellWatch r="I80"/>
    <cellWatch r="I79"/>
    <cellWatch r="I126"/>
    <cellWatch r="M128"/>
    <cellWatch r="G127"/>
    <cellWatch r="K126"/>
    <cellWatch r="G148"/>
    <cellWatch r="G139"/>
    <cellWatch r="Q28"/>
    <cellWatch r="Q14"/>
    <cellWatch r="Q8"/>
    <cellWatch r="Q6"/>
    <cellWatch r="Q5"/>
    <cellWatch r="Q13"/>
    <cellWatch r="P16"/>
    <cellWatch r="P14"/>
    <cellWatch r="P8"/>
    <cellWatch r="P6"/>
    <cellWatch r="P5"/>
    <cellWatch r="P13"/>
    <cellWatch r="Q4"/>
    <cellWatch r="Q12"/>
    <cellWatch r="R24"/>
    <cellWatch r="R22"/>
    <cellWatch r="R19"/>
    <cellWatch r="R18"/>
    <cellWatch r="R17"/>
    <cellWatch r="R21"/>
    <cellWatch r="O3"/>
    <cellWatch r="O6"/>
    <cellWatch r="R25"/>
    <cellWatch r="R20"/>
    <cellWatch r="Q15"/>
    <cellWatch r="P15"/>
    <cellWatch r="P60"/>
    <cellWatch r="M130"/>
    <cellWatch r="M133"/>
    <cellWatch r="G129"/>
    <cellWatch r="K128"/>
    <cellWatch r="D21"/>
    <cellWatch r="D20"/>
    <cellWatch r="D22"/>
    <cellWatch r="D29"/>
    <cellWatch r="D28"/>
    <cellWatch r="D38"/>
    <cellWatch r="D37"/>
    <cellWatch r="D27"/>
    <cellWatch r="D30"/>
    <cellWatch r="D39"/>
    <cellWatch r="O14"/>
    <cellWatch r="O13"/>
    <cellWatch r="O5"/>
    <cellWatch r="O4"/>
    <cellWatch r="D24"/>
    <cellWatch r="D23"/>
    <cellWatch r="D32"/>
    <cellWatch r="D31"/>
    <cellWatch r="O12"/>
    <cellWatch r="D26"/>
    <cellWatch r="D36"/>
    <cellWatch r="D19"/>
    <cellWatch r="D25"/>
    <cellWatch r="D34"/>
    <cellWatch r="P47"/>
    <cellWatch r="O8"/>
    <cellWatch r="O47"/>
    <cellWatch r="D40"/>
    <cellWatch r="K18"/>
    <cellWatch r="C21"/>
    <cellWatch r="C20"/>
    <cellWatch r="C22"/>
    <cellWatch r="C17"/>
    <cellWatch r="C29"/>
    <cellWatch r="C28"/>
    <cellWatch r="C38"/>
    <cellWatch r="C37"/>
    <cellWatch r="C27"/>
    <cellWatch r="C30"/>
    <cellWatch r="C39"/>
    <cellWatch r="N14"/>
    <cellWatch r="N13"/>
    <cellWatch r="N6"/>
    <cellWatch r="N5"/>
    <cellWatch r="N4"/>
    <cellWatch r="C24"/>
    <cellWatch r="C23"/>
    <cellWatch r="C32"/>
    <cellWatch r="C31"/>
    <cellWatch r="N12"/>
    <cellWatch r="C19"/>
    <cellWatch r="C26"/>
    <cellWatch r="C36"/>
    <cellWatch r="D78"/>
    <cellWatch r="K20"/>
    <cellWatch r="K23"/>
    <cellWatch r="G124"/>
    <cellWatch r="G125"/>
    <cellWatch r="F125"/>
    <cellWatch r="F128"/>
    <cellWatch r="F133"/>
    <cellWatch r="F132"/>
    <cellWatch r="I124"/>
    <cellWatch r="F131"/>
    <cellWatch r="F130"/>
    <cellWatch r="F129"/>
    <cellWatch r="F139"/>
    <cellWatch r="F138"/>
    <cellWatch r="F147"/>
    <cellWatch r="F146"/>
    <cellWatch r="F137"/>
    <cellWatch r="K21"/>
    <cellWatch r="K24"/>
    <cellWatch r="D41"/>
    <cellWatch r="D43"/>
    <cellWatch r="F51"/>
    <cellWatch r="R23"/>
    <cellWatch r="O22"/>
    <cellWatch r="O21"/>
    <cellWatch r="O19"/>
    <cellWatch r="O23"/>
    <cellWatch r="N22"/>
    <cellWatch r="N21"/>
    <cellWatch r="N18"/>
    <cellWatch r="N20"/>
    <cellWatch r="G122"/>
    <cellWatch r="K124"/>
    <cellWatch r="G123"/>
    <cellWatch r="F123"/>
    <cellWatch r="F126"/>
    <cellWatch r="I122"/>
    <cellWatch r="F127"/>
    <cellWatch r="F136"/>
    <cellWatch r="F145"/>
    <cellWatch r="F144"/>
    <cellWatch r="F135"/>
    <cellWatch r="L8"/>
    <cellWatch r="N15"/>
    <cellWatch r="N24"/>
    <cellWatch r="R16"/>
    <cellWatch r="N23"/>
    <cellWatch r="L12"/>
    <cellWatch r="L14"/>
    <cellWatch r="N19"/>
    <cellWatch r="N128"/>
    <cellWatch r="N131"/>
    <cellWatch r="L126"/>
    <cellWatch r="N25"/>
    <cellWatch r="T23"/>
    <cellWatch r="T22"/>
    <cellWatch r="T19"/>
    <cellWatch r="T18"/>
    <cellWatch r="T17"/>
    <cellWatch r="L5"/>
    <cellWatch r="T21"/>
    <cellWatch r="N8"/>
    <cellWatch r="L2"/>
    <cellWatch r="U57"/>
    <cellWatch r="T24"/>
    <cellWatch r="T20"/>
    <cellWatch r="R28"/>
    <cellWatch r="I3"/>
    <cellWatch r="P20"/>
    <cellWatch r="L20"/>
    <cellWatch r="Q30"/>
    <cellWatch r="O24"/>
    <cellWatch r="G3"/>
    <cellWatch r="C40"/>
    <cellWatch r="C25"/>
    <cellWatch r="C34"/>
    <cellWatch r="K22"/>
    <cellWatch r="K25"/>
    <cellWatch r="K26"/>
    <cellWatch r="D42"/>
    <cellWatch r="D44"/>
    <cellWatch r="K3"/>
    <cellWatch r="N26"/>
    <cellWatch r="R26"/>
    <cellWatch r="N130"/>
    <cellWatch r="N133"/>
    <cellWatch r="L128"/>
    <cellWatch r="N27"/>
    <cellWatch r="S68"/>
    <cellWatch r="T25"/>
    <cellWatch r="L3"/>
    <cellWatch r="U59"/>
    <cellWatch r="U60"/>
    <cellWatch r="T26"/>
    <cellWatch r="R30"/>
    <cellWatch r="F3"/>
    <cellWatch r="D4"/>
    <cellWatch r="F4"/>
    <cellWatch r="D3"/>
    <cellWatch r="G4"/>
    <cellWatch r="F2"/>
    <cellWatch r="M14"/>
    <cellWatch r="C4"/>
    <cellWatch r="C8"/>
    <cellWatch r="C12"/>
    <cellWatch r="C13"/>
    <cellWatch r="C6"/>
    <cellWatch r="C15"/>
    <cellWatch r="C3"/>
    <cellWatch r="C14"/>
    <cellWatch r="D51"/>
    <cellWatch r="D63"/>
    <cellWatch r="H4"/>
    <cellWatch r="F16"/>
    <cellWatch r="H3"/>
    <cellWatch r="C50"/>
    <cellWatch r="C51"/>
    <cellWatch r="G51"/>
    <cellWatch r="C63"/>
    <cellWatch r="C60"/>
    <cellWatch r="F50"/>
    <cellWatch r="K19"/>
    <cellWatch r="M5"/>
    <cellWatch r="M12"/>
    <cellWatch r="J17"/>
    <cellWatch r="J22"/>
    <cellWatch r="J21"/>
    <cellWatch r="J20"/>
    <cellWatch r="J19"/>
    <cellWatch r="J18"/>
    <cellWatch r="S51"/>
    <cellWatch r="O129"/>
    <cellWatch r="O132"/>
    <cellWatch r="M127"/>
    <cellWatch r="K34"/>
    <cellWatch r="K32"/>
    <cellWatch r="K43"/>
    <cellWatch r="K41"/>
    <cellWatch r="K31"/>
    <cellWatch r="R15"/>
    <cellWatch r="K30"/>
    <cellWatch r="K40"/>
    <cellWatch r="K29"/>
    <cellWatch r="M2"/>
    <cellWatch r="K27"/>
    <cellWatch r="K36"/>
    <cellWatch r="K28"/>
    <cellWatch r="K38"/>
    <cellWatch r="K37"/>
    <cellWatch r="K42"/>
    <cellWatch r="J23"/>
    <cellWatch r="O128"/>
    <cellWatch r="O131"/>
    <cellWatch r="M126"/>
    <cellWatch r="K39"/>
    <cellWatch r="Q27"/>
    <cellWatch r="R47"/>
    <cellWatch r="R50"/>
    <cellWatch r="M124"/>
    <cellWatch r="K122"/>
    <cellWatch r="G81"/>
    <cellWatch r="I16"/>
    <cellWatch r="T16"/>
    <cellWatch r="U62"/>
    <cellWatch r="G82"/>
    <cellWatch r="H17"/>
    <cellWatch r="H20"/>
    <cellWatch r="H19"/>
    <cellWatch r="H18"/>
    <cellWatch r="H34"/>
    <cellWatch r="H32"/>
    <cellWatch r="H41"/>
    <cellWatch r="H31"/>
    <cellWatch r="F80"/>
    <cellWatch r="H40"/>
    <cellWatch r="H39"/>
    <cellWatch r="F81"/>
    <cellWatch r="O26"/>
    <cellWatch r="G147"/>
    <cellWatch r="G145"/>
    <cellWatch r="G153"/>
    <cellWatch r="I131"/>
    <cellWatch r="I136"/>
    <cellWatch r="I135"/>
    <cellWatch r="I134"/>
    <cellWatch r="I133"/>
    <cellWatch r="I132"/>
    <cellWatch r="I142"/>
    <cellWatch r="I141"/>
    <cellWatch r="I150"/>
    <cellWatch r="I149"/>
    <cellWatch r="I140"/>
    <cellWatch r="O27"/>
    <cellWatch r="G87"/>
    <cellWatch r="G88"/>
    <cellWatch r="V59"/>
    <cellWatch r="V25"/>
    <cellWatch r="V24"/>
    <cellWatch r="V19"/>
    <cellWatch r="V18"/>
    <cellWatch r="V17"/>
    <cellWatch r="V23"/>
    <cellWatch r="W59"/>
    <cellWatch r="W60"/>
    <cellWatch r="V26"/>
    <cellWatch r="V20"/>
    <cellWatch r="V60"/>
    <cellWatch r="K44"/>
    <cellWatch r="H36"/>
    <cellWatch r="H37"/>
    <cellWatch r="H42"/>
    <cellWatch r="H43"/>
    <cellWatch r="H51"/>
    <cellWatch r="T31"/>
    <cellWatch r="U91"/>
    <cellWatch r="G113"/>
    <cellWatch r="G73"/>
    <cellWatch r="T91"/>
    <cellWatch r="I73"/>
    <cellWatch r="I63"/>
    <cellWatch r="G114"/>
    <cellWatch r="G63"/>
    <cellWatch r="U85"/>
    <cellWatch r="G107"/>
    <cellWatch r="T85"/>
    <cellWatch r="H75"/>
    <cellWatch r="H74"/>
    <cellWatch r="F113"/>
    <cellWatch r="F73"/>
    <cellWatch r="S91"/>
    <cellWatch r="H73"/>
    <cellWatch r="H72"/>
    <cellWatch r="H63"/>
    <cellWatch r="F114"/>
    <cellWatch r="U92"/>
    <cellWatch r="G115"/>
    <cellWatch r="G161"/>
    <cellWatch r="G162"/>
    <cellWatch r="G160"/>
    <cellWatch r="G165"/>
    <cellWatch r="G164"/>
    <cellWatch r="O162"/>
    <cellWatch r="O165"/>
    <cellWatch r="G173"/>
    <cellWatch r="G172"/>
    <cellWatch r="G181"/>
    <cellWatch r="G180"/>
    <cellWatch r="K161"/>
    <cellWatch r="G183"/>
    <cellWatch r="G178"/>
    <cellWatch r="G186"/>
    <cellWatch r="G174"/>
    <cellWatch r="G182"/>
    <cellWatch r="I161"/>
    <cellWatch r="I164"/>
    <cellWatch r="I169"/>
    <cellWatch r="I168"/>
    <cellWatch r="M160"/>
    <cellWatch r="I167"/>
    <cellWatch r="I166"/>
    <cellWatch r="I165"/>
    <cellWatch r="I175"/>
    <cellWatch r="I174"/>
    <cellWatch r="I183"/>
    <cellWatch r="I182"/>
    <cellWatch r="I173"/>
    <cellWatch r="O59"/>
    <cellWatch r="T90"/>
    <cellWatch r="G112"/>
    <cellWatch r="U90"/>
    <cellWatch r="T99"/>
    <cellWatch r="G120"/>
    <cellWatch r="G121"/>
    <cellWatch r="U99"/>
    <cellWatch r="U100"/>
    <cellWatch r="T100"/>
    <cellWatch r="S87"/>
    <cellWatch r="F109"/>
    <cellWatch r="F110"/>
    <cellWatch r="S82"/>
    <cellWatch r="D103"/>
    <cellWatch r="Q82"/>
    <cellWatch r="H15"/>
    <cellWatch r="S88"/>
    <cellWatch r="Q88"/>
    <cellWatch r="F111"/>
    <cellWatch r="C72"/>
    <cellWatch r="D109"/>
    <cellWatch r="P87"/>
    <cellWatch r="F63"/>
    <cellWatch r="D110"/>
    <cellWatch r="F157"/>
    <cellWatch r="F158"/>
    <cellWatch r="F156"/>
    <cellWatch r="I156"/>
    <cellWatch r="F161"/>
    <cellWatch r="F160"/>
    <cellWatch r="M158"/>
    <cellWatch r="M161"/>
    <cellWatch r="F169"/>
    <cellWatch r="F168"/>
    <cellWatch r="F177"/>
    <cellWatch r="F176"/>
    <cellWatch r="I157"/>
    <cellWatch r="F179"/>
    <cellWatch r="F174"/>
    <cellWatch r="F182"/>
    <cellWatch r="F170"/>
    <cellWatch r="F178"/>
    <cellWatch r="H157"/>
    <cellWatch r="H160"/>
    <cellWatch r="H165"/>
    <cellWatch r="H164"/>
    <cellWatch r="K156"/>
    <cellWatch r="H163"/>
    <cellWatch r="H162"/>
    <cellWatch r="H161"/>
    <cellWatch r="H171"/>
    <cellWatch r="H170"/>
    <cellWatch r="H179"/>
    <cellWatch r="H178"/>
    <cellWatch r="H169"/>
    <cellWatch r="H57"/>
    <cellWatch r="H59"/>
    <cellWatch r="H69"/>
    <cellWatch r="H68"/>
    <cellWatch r="H70"/>
    <cellWatch r="H77"/>
    <cellWatch r="H76"/>
    <cellWatch r="H85"/>
    <cellWatch r="H84"/>
    <cellWatch r="V90"/>
    <cellWatch r="K75"/>
    <cellWatch r="K74"/>
    <cellWatch r="K73"/>
    <cellWatch r="K72"/>
    <cellWatch r="K63"/>
    <cellWatch r="W90"/>
    <cellWatch r="K68"/>
    <cellWatch r="K76"/>
    <cellWatch r="W91"/>
    <cellWatch r="V57"/>
    <cellWatch r="V91"/>
    <cellWatch r="K70"/>
    <cellWatch r="K69"/>
    <cellWatch r="K78"/>
    <cellWatch r="K77"/>
    <cellWatch r="H38"/>
    <cellWatch r="G126"/>
    <cellWatch r="O126"/>
    <cellWatch r="K125"/>
    <cellWatch r="G146"/>
    <cellWatch r="I125"/>
    <cellWatch r="I139"/>
    <cellWatch r="I138"/>
    <cellWatch r="I147"/>
    <cellWatch r="I146"/>
    <cellWatch r="I137"/>
    <cellWatch r="T63"/>
    <cellWatch r="G84"/>
    <cellWatch r="G85"/>
    <cellWatch r="U63"/>
    <cellWatch r="V22"/>
    <cellWatch r="V21"/>
    <cellWatch r="T28"/>
    <cellWatch r="O127"/>
    <cellWatch r="O130"/>
    <cellWatch r="M125"/>
    <cellWatch r="I148"/>
    <cellWatch r="G86"/>
    <cellWatch r="W57"/>
    <cellWatch r="T8"/>
    <cellWatch r="T6"/>
    <cellWatch r="S16"/>
    <cellWatch r="S8"/>
    <cellWatch r="S6"/>
    <cellWatch r="T4"/>
    <cellWatch r="U24"/>
    <cellWatch r="U22"/>
    <cellWatch r="U19"/>
    <cellWatch r="U18"/>
    <cellWatch r="U17"/>
    <cellWatch r="U21"/>
    <cellWatch r="Q3"/>
    <cellWatch r="U25"/>
    <cellWatch r="U20"/>
    <cellWatch r="U51"/>
    <cellWatch r="T51"/>
    <cellWatch r="S46"/>
    <cellWatch r="Q46"/>
    <cellWatch r="P4"/>
    <cellWatch r="P12"/>
    <cellWatch r="F124"/>
    <cellWatch r="F122"/>
    <cellWatch r="F134"/>
    <cellWatch r="F143"/>
    <cellWatch r="F142"/>
    <cellWatch r="I123"/>
    <cellWatch r="F140"/>
    <cellWatch r="F148"/>
    <cellWatch r="H123"/>
    <cellWatch r="H126"/>
    <cellWatch r="H131"/>
    <cellWatch r="H130"/>
    <cellWatch r="H129"/>
    <cellWatch r="H128"/>
    <cellWatch r="H127"/>
    <cellWatch r="H137"/>
    <cellWatch r="H136"/>
    <cellWatch r="H145"/>
    <cellWatch r="H144"/>
    <cellWatch r="H135"/>
    <cellWatch r="U23"/>
    <cellWatch r="P51"/>
    <cellWatch r="F121"/>
    <cellWatch r="F120"/>
    <cellWatch r="I120"/>
    <cellWatch r="M122"/>
    <cellWatch r="F141"/>
    <cellWatch r="I121"/>
    <cellWatch r="H121"/>
    <cellWatch r="H124"/>
    <cellWatch r="K120"/>
    <cellWatch r="H125"/>
    <cellWatch r="H134"/>
    <cellWatch r="H143"/>
    <cellWatch r="H142"/>
    <cellWatch r="H133"/>
    <cellWatch r="H50"/>
    <cellWatch r="U16"/>
    <cellWatch r="P126"/>
    <cellWatch r="P129"/>
    <cellWatch r="N124"/>
    <cellWatch r="V63"/>
    <cellWatch r="W23"/>
    <cellWatch r="W22"/>
    <cellWatch r="W19"/>
    <cellWatch r="W18"/>
    <cellWatch r="W17"/>
    <cellWatch r="W21"/>
    <cellWatch r="N2"/>
    <cellWatch r="W24"/>
    <cellWatch r="W20"/>
    <cellWatch r="U28"/>
    <cellWatch r="T30"/>
    <cellWatch r="S50"/>
    <cellWatch r="Q50"/>
    <cellWatch r="M3"/>
    <cellWatch r="P26"/>
    <cellWatch r="V51"/>
    <cellWatch r="U26"/>
    <cellWatch r="P128"/>
    <cellWatch r="P131"/>
    <cellWatch r="N126"/>
    <cellWatch r="P27"/>
    <cellWatch r="W25"/>
    <cellWatch r="N3"/>
    <cellWatch r="X57"/>
    <cellWatch r="X59"/>
    <cellWatch r="W26"/>
    <cellWatch r="U30"/>
  </cellWatches>
  <ignoredErrors>
    <ignoredError sqref="AE46:AQ46 AR14:BE14 AE29:AE31 AE49:DR49 AE51:AR51 AF34:BQ34 AS32:EE32 AR16 BE16 BF53:BR53 AE52:AJ52 AE53:AP53 BS53:EE53 BS51:DR51 BR51 DS51:EE51 AS53:BC53 AR29:AR31 BE29:BE31 BR29:BR31 CE29:CE31 CR29:CR31 DE31 DR31 EE29:EE31 DE29:DE30 DE19:DE27 AE20:AE26 DR29:DR30 DR19:DR27 AE47:AH47 AJ47:DR47 AF32:AR32 AS51:BQ51 AL52:AQ52 AE50:AK50 AM50:DR50 AE48:AQ48 AS48:BD48 AR15:BE15 AE45 BE45:DR45 AF36:AQ36 AS36:BE36 AE19 AR19 AR20:AR27 BE19 BE20:BE27 BR19 BR20:BR27 CE19 CE20:CE27 CR19 CR20:CR27 AS46:DR46 AE32 BF48:DR48 BG36:EE36 AR12:BE12 AR13:BE13 AE12:AE16 AR45 BS34:EE34 BR16 BE53 AS52:EE52 AR52:AR53 R52:R53 R45:R50 R51 R32:R33 R38:R42 AR39 BE39 BR39 CE39 CR39 DE39 DR39 EE39 R44 BR14 BR15 BR12 BR13 CE16 CE14 CE15 CE12 CE13 CR16 CR14 CR15 CR12 CR13 DE16 DE14 DE15 DE12 DE13 DR16 DR14 DR15 DR12 DR13 EE16 EE14 EE15 EE12 EE13 R12:R16 AE39 R54:R56 R28 G28:Q28 DR28 DE28 EE28 CR28 CE28 BR28 BE28 AR28 AE28 S28:AD28 AF28:AQ28 AS28:BD28 BF28:BQ28 BS28:CD28 CF28:CQ28 CS28:DD28 DF28:DQ28 DS28:ED28" formula="1"/>
    <ignoredError sqref="AE36 AE33 AE17 R34" evalError="1" formula="1"/>
    <ignoredError sqref="E37 E36 E34 S34 U34:AD34 V37:AE37 S36:AC36 F37:Q37 F36:Q36 F34:Q34" evalError="1"/>
  </ignoredError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A0CEA-6464-3944-ABEB-6B025ED92E8C}">
  <sheetPr codeName="Sheet4">
    <tabColor theme="4" tint="-0.499984740745262"/>
  </sheetPr>
  <dimension ref="B1:AM112"/>
  <sheetViews>
    <sheetView showGridLines="0" zoomScale="80" zoomScaleNormal="80" workbookViewId="0">
      <pane xSplit="1" ySplit="1" topLeftCell="B17" activePane="bottomRight" state="frozen"/>
      <selection pane="topRight" activeCell="Y15" sqref="Y15"/>
      <selection pane="bottomLeft" activeCell="Y15" sqref="Y15"/>
      <selection pane="bottomRight" activeCell="T48" sqref="T48"/>
    </sheetView>
  </sheetViews>
  <sheetFormatPr defaultColWidth="11" defaultRowHeight="15.75"/>
  <cols>
    <col min="1" max="1" width="2.5" customWidth="1"/>
    <col min="4" max="4" width="11.875" bestFit="1" customWidth="1"/>
    <col min="5" max="5" width="14.5" bestFit="1" customWidth="1"/>
    <col min="6" max="6" width="11.875" bestFit="1" customWidth="1"/>
    <col min="7" max="7" width="15.25" bestFit="1" customWidth="1"/>
    <col min="8" max="9" width="13.375" bestFit="1" customWidth="1"/>
    <col min="10" max="10" width="13.375" customWidth="1"/>
    <col min="11" max="15" width="13.375" bestFit="1" customWidth="1"/>
    <col min="16" max="16" width="10.125" style="856" bestFit="1" customWidth="1"/>
    <col min="17" max="17" width="6.375" style="856" bestFit="1" customWidth="1"/>
    <col min="18" max="18" width="14.75" customWidth="1"/>
    <col min="19" max="19" width="14.625" bestFit="1" customWidth="1"/>
    <col min="20" max="20" width="49.5" bestFit="1" customWidth="1"/>
    <col min="21" max="25" width="11.875" bestFit="1" customWidth="1"/>
  </cols>
  <sheetData>
    <row r="1" spans="2:39" s="350" customFormat="1" ht="41.25" customHeight="1" thickBot="1">
      <c r="B1" s="345" t="str">
        <f>'Inputs &amp; Assumptions'!D4&amp;" – Waterfall"</f>
        <v>Madison Overland Park – Waterfall</v>
      </c>
      <c r="C1" s="345"/>
      <c r="D1" s="345"/>
      <c r="E1" s="346"/>
      <c r="F1" s="346"/>
      <c r="G1" s="346"/>
      <c r="H1" s="346"/>
      <c r="I1" s="346"/>
      <c r="J1" s="346"/>
      <c r="K1" s="346"/>
      <c r="L1" s="346"/>
      <c r="M1" s="346"/>
      <c r="N1" s="346"/>
      <c r="O1" s="346"/>
      <c r="P1" s="1045"/>
      <c r="Q1" s="1045"/>
      <c r="R1" s="346"/>
      <c r="S1" s="346"/>
      <c r="T1" s="346"/>
      <c r="U1" s="346"/>
      <c r="V1" s="346"/>
      <c r="W1" s="346"/>
      <c r="X1" s="346"/>
      <c r="Y1" s="346"/>
      <c r="Z1" s="346"/>
      <c r="AA1" s="346"/>
      <c r="AB1" s="346"/>
      <c r="AC1" s="346"/>
      <c r="AD1" s="346"/>
      <c r="AE1" s="346"/>
      <c r="AF1" s="346"/>
      <c r="AG1" s="346"/>
      <c r="AH1" s="346"/>
      <c r="AI1" s="346"/>
      <c r="AJ1" s="346"/>
      <c r="AK1" s="346"/>
      <c r="AL1" s="346"/>
      <c r="AM1" s="346"/>
    </row>
    <row r="3" spans="2:39" ht="19.5" thickBot="1">
      <c r="B3" s="313"/>
      <c r="C3" s="313"/>
      <c r="D3" s="313"/>
      <c r="E3" s="25"/>
      <c r="J3" s="25"/>
      <c r="K3" s="313"/>
      <c r="L3" s="313"/>
      <c r="M3" s="313"/>
      <c r="P3" s="1046"/>
    </row>
    <row r="4" spans="2:39" ht="18.75">
      <c r="B4" s="203"/>
      <c r="C4" s="203"/>
      <c r="D4" s="203"/>
      <c r="G4" s="715" t="s">
        <v>326</v>
      </c>
      <c r="H4" s="716"/>
      <c r="I4" s="716"/>
      <c r="J4" s="717"/>
      <c r="K4" s="203"/>
      <c r="L4" s="203"/>
      <c r="M4" s="203"/>
    </row>
    <row r="5" spans="2:39">
      <c r="B5" s="6"/>
      <c r="C5" s="713"/>
      <c r="D5" s="12"/>
      <c r="G5" s="870"/>
      <c r="H5" s="1011"/>
      <c r="I5" s="1011" t="s">
        <v>327</v>
      </c>
      <c r="J5" s="871" t="s">
        <v>328</v>
      </c>
      <c r="K5" s="6"/>
      <c r="M5" s="201"/>
    </row>
    <row r="6" spans="2:39">
      <c r="B6" s="6"/>
      <c r="C6" s="714"/>
      <c r="D6" s="12"/>
      <c r="G6" s="179" t="s">
        <v>329</v>
      </c>
      <c r="I6" s="718">
        <v>0.08</v>
      </c>
      <c r="J6" s="719">
        <v>0</v>
      </c>
    </row>
    <row r="7" spans="2:39" hidden="1">
      <c r="B7" s="6"/>
      <c r="C7" s="714"/>
      <c r="D7" s="12"/>
      <c r="G7" s="161" t="s">
        <v>330</v>
      </c>
      <c r="I7" s="11" t="s">
        <v>66</v>
      </c>
      <c r="J7" s="720">
        <v>0</v>
      </c>
    </row>
    <row r="8" spans="2:39">
      <c r="B8" s="13"/>
      <c r="C8" s="712"/>
      <c r="D8" s="89"/>
      <c r="G8" s="179" t="s">
        <v>331</v>
      </c>
      <c r="H8" s="1029">
        <f>I9</f>
        <v>0.18</v>
      </c>
      <c r="I8" s="718">
        <f>Pref</f>
        <v>0.08</v>
      </c>
      <c r="J8" s="719">
        <v>0.2</v>
      </c>
    </row>
    <row r="9" spans="2:39" ht="16.5" thickBot="1">
      <c r="B9" s="11"/>
      <c r="C9" s="11"/>
      <c r="D9" s="11"/>
      <c r="F9" s="6"/>
      <c r="G9" s="182" t="s">
        <v>332</v>
      </c>
      <c r="H9" s="721"/>
      <c r="I9" s="722">
        <v>0.18</v>
      </c>
      <c r="J9" s="723">
        <v>0.5</v>
      </c>
      <c r="P9" s="1047"/>
    </row>
    <row r="10" spans="2:39">
      <c r="B10" s="11"/>
      <c r="C10" s="11"/>
      <c r="D10" s="11"/>
      <c r="F10" s="30"/>
      <c r="G10" s="30"/>
      <c r="I10" s="30"/>
      <c r="J10" s="202"/>
    </row>
    <row r="11" spans="2:39" ht="16.5" thickBot="1"/>
    <row r="12" spans="2:39" ht="18.75">
      <c r="B12" s="715" t="s">
        <v>333</v>
      </c>
      <c r="C12" s="716"/>
      <c r="D12" s="716"/>
      <c r="E12" s="716"/>
      <c r="F12" s="716"/>
      <c r="G12" s="716"/>
      <c r="H12" s="716"/>
      <c r="I12" s="716"/>
      <c r="J12" s="716"/>
      <c r="K12" s="716"/>
      <c r="L12" s="716"/>
      <c r="M12" s="716"/>
      <c r="N12" s="716"/>
      <c r="O12" s="717"/>
    </row>
    <row r="13" spans="2:39">
      <c r="B13" s="161"/>
      <c r="E13" s="9" t="s">
        <v>183</v>
      </c>
      <c r="F13" s="9" t="s">
        <v>188</v>
      </c>
      <c r="G13" s="9" t="s">
        <v>192</v>
      </c>
      <c r="H13" s="9" t="s">
        <v>197</v>
      </c>
      <c r="I13" s="9" t="s">
        <v>201</v>
      </c>
      <c r="J13" s="9" t="s">
        <v>205</v>
      </c>
      <c r="K13" s="9" t="s">
        <v>209</v>
      </c>
      <c r="L13" s="9" t="s">
        <v>211</v>
      </c>
      <c r="M13" s="9" t="s">
        <v>214</v>
      </c>
      <c r="N13" s="9" t="s">
        <v>217</v>
      </c>
      <c r="O13" s="199" t="s">
        <v>219</v>
      </c>
    </row>
    <row r="14" spans="2:39">
      <c r="B14" s="161" t="s">
        <v>334</v>
      </c>
      <c r="E14" s="12">
        <f>-'Cash Flows &amp; Summary'!U39</f>
        <v>-51060218.100000001</v>
      </c>
      <c r="F14" s="12">
        <f>'Pro Forma'!R36-'Pro Forma'!R40</f>
        <v>2171501.8011123999</v>
      </c>
      <c r="G14" s="12">
        <f>IF(SUM(F15)&lt;&gt;0,0,'Pro Forma'!AE36)</f>
        <v>2795300.1670463979</v>
      </c>
      <c r="H14" s="12">
        <f>IF(SUM(E15:G15)&lt;&gt;0,0, 'Pro Forma'!AE36)</f>
        <v>2795300.1670463979</v>
      </c>
      <c r="I14" s="12">
        <f>IF(SUM(F15:H15)&lt;&gt;0,0, 'Pro Forma'!BE36)</f>
        <v>3600745.1808102657</v>
      </c>
      <c r="J14" s="12">
        <f>IF(SUM(F15:I15)&lt;&gt;0,0, 'Pro Forma'!BR36-'Pro Forma'!BR40)</f>
        <v>3708767.5362345739</v>
      </c>
      <c r="K14" s="12">
        <f>IF(SUM(F15:J15)&lt;&gt;0,0, 'Pro Forma'!CE36-'Pro Forma'!CE40)</f>
        <v>0</v>
      </c>
      <c r="L14" s="12">
        <f>IF(SUM(F15:K15)&lt;&gt;0,0,'Pro Forma'!CR36-'Pro Forma'!CR40)</f>
        <v>0</v>
      </c>
      <c r="M14" s="12">
        <f>IF(SUM(F15:L15)&lt;&gt;0,0,'Pro Forma'!DE36-'Pro Forma'!DE40)</f>
        <v>0</v>
      </c>
      <c r="N14" s="12">
        <f>IF(SUM(F15:M15)&lt;&gt;0,0,'Pro Forma'!DR36-'Pro Forma'!DR40)</f>
        <v>0</v>
      </c>
      <c r="O14" s="242">
        <f>IF(SUM(F15:O15)&lt;&gt;0,0,'Pro Forma'!EE36-'Pro Forma'!EE40)</f>
        <v>0</v>
      </c>
    </row>
    <row r="15" spans="2:39">
      <c r="B15" s="161" t="s">
        <v>224</v>
      </c>
      <c r="E15" s="12">
        <v>0</v>
      </c>
      <c r="F15" s="12">
        <f>IF('Inputs &amp; Assumptions'!$V$68=1, 'Pro Forma'!R$63-'Pro Forma'!R$63*('Inputs &amp; Assumptions'!$V$66+'Inputs &amp; Assumptions'!$V$69),0)</f>
        <v>0</v>
      </c>
      <c r="G15" s="12">
        <f>IF('Inputs &amp; Assumptions'!$V$68=2, 'Pro Forma'!AE$63-'Pro Forma'!AE$63*('Inputs &amp; Assumptions'!$V$66+'Inputs &amp; Assumptions'!$V$69),0)</f>
        <v>0</v>
      </c>
      <c r="H15" s="12">
        <f>IF('Inputs &amp; Assumptions'!$V$68=3, 'Pro Forma'!AR$63-'Pro Forma'!AR$63*('Inputs &amp; Assumptions'!$V$66+'Inputs &amp; Assumptions'!$V$69),0)</f>
        <v>0</v>
      </c>
      <c r="I15" s="12">
        <f>IF('Inputs &amp; Assumptions'!$V$68=4, 'Pro Forma'!BE$63-'Pro Forma'!BE$63*('Inputs &amp; Assumptions'!$V$66+'Inputs &amp; Assumptions'!$V$69),0)</f>
        <v>0</v>
      </c>
      <c r="J15" s="12">
        <f>IF('Inputs &amp; Assumptions'!$V$68=5, 'Pro Forma'!BR$63-'Pro Forma'!BR$63*('Inputs &amp; Assumptions'!$V$66+'Inputs &amp; Assumptions'!$V$69),0)</f>
        <v>69583543.298877239</v>
      </c>
      <c r="K15" s="12">
        <f>IF('Inputs &amp; Assumptions'!$V$68=6, 'Pro Forma'!CE$63-'Pro Forma'!CE$63*('Inputs &amp; Assumptions'!$V$66+'Inputs &amp; Assumptions'!$V$69),0)</f>
        <v>0</v>
      </c>
      <c r="L15" s="12">
        <f>IF('Inputs &amp; Assumptions'!$V$68=7, 'Pro Forma'!CR$63-'Pro Forma'!CR$63*('Inputs &amp; Assumptions'!$V$66+'Inputs &amp; Assumptions'!$V$69),0)</f>
        <v>0</v>
      </c>
      <c r="M15" s="12">
        <f>IF('Inputs &amp; Assumptions'!$V$68=8, 'Pro Forma'!DE$63-'Pro Forma'!DE$63*('Inputs &amp; Assumptions'!$V$66+'Inputs &amp; Assumptions'!$V$69),0)</f>
        <v>0</v>
      </c>
      <c r="N15" s="12">
        <f>IF('Inputs &amp; Assumptions'!$V$68=9, 'Pro Forma'!DR$63-'Pro Forma'!DR$63*('Inputs &amp; Assumptions'!$V$66+'Inputs &amp; Assumptions'!$V$69),0)</f>
        <v>0</v>
      </c>
      <c r="O15" s="242">
        <f>IF('Inputs &amp; Assumptions'!$V$68=10, 'Pro Forma'!EE$63-'Pro Forma'!EE$63*('Inputs &amp; Assumptions'!$V$66+'Inputs &amp; Assumptions'!$V$69),0)</f>
        <v>0</v>
      </c>
    </row>
    <row r="16" spans="2:39">
      <c r="B16" s="161" t="s">
        <v>335</v>
      </c>
      <c r="D16" s="30"/>
      <c r="E16" s="12">
        <f t="shared" ref="E16:O16" si="0">SUM(E14:E15)</f>
        <v>-51060218.100000001</v>
      </c>
      <c r="F16" s="12">
        <f t="shared" si="0"/>
        <v>2171501.8011123999</v>
      </c>
      <c r="G16" s="12">
        <f t="shared" si="0"/>
        <v>2795300.1670463979</v>
      </c>
      <c r="H16" s="12">
        <f t="shared" si="0"/>
        <v>2795300.1670463979</v>
      </c>
      <c r="I16" s="12">
        <f t="shared" si="0"/>
        <v>3600745.1808102657</v>
      </c>
      <c r="J16" s="12">
        <f t="shared" si="0"/>
        <v>73292310.835111812</v>
      </c>
      <c r="K16" s="12">
        <f t="shared" si="0"/>
        <v>0</v>
      </c>
      <c r="L16" s="12">
        <f t="shared" si="0"/>
        <v>0</v>
      </c>
      <c r="M16" s="12">
        <f t="shared" si="0"/>
        <v>0</v>
      </c>
      <c r="N16" s="12">
        <f t="shared" si="0"/>
        <v>0</v>
      </c>
      <c r="O16" s="242">
        <f t="shared" si="0"/>
        <v>0</v>
      </c>
    </row>
    <row r="17" spans="2:24">
      <c r="B17" s="724" t="s">
        <v>176</v>
      </c>
      <c r="C17" s="43"/>
      <c r="D17" s="1194"/>
      <c r="E17" s="1194">
        <f>IRR(E16:O16)</f>
        <v>0.11505148614082539</v>
      </c>
      <c r="O17" s="725"/>
    </row>
    <row r="18" spans="2:24" ht="18.75">
      <c r="B18" s="1125" t="s">
        <v>336</v>
      </c>
      <c r="C18" s="337"/>
      <c r="D18" s="337"/>
      <c r="E18" s="337"/>
      <c r="F18" s="337"/>
      <c r="G18" s="337"/>
      <c r="H18" s="337"/>
      <c r="I18" s="337"/>
      <c r="J18" s="337"/>
      <c r="K18" s="337"/>
      <c r="L18" s="337"/>
      <c r="M18" s="337"/>
      <c r="N18" s="337"/>
      <c r="O18" s="1126"/>
    </row>
    <row r="19" spans="2:24">
      <c r="B19" s="161"/>
      <c r="E19" s="9" t="s">
        <v>183</v>
      </c>
      <c r="F19" s="9" t="s">
        <v>188</v>
      </c>
      <c r="G19" s="9" t="s">
        <v>192</v>
      </c>
      <c r="H19" s="9" t="s">
        <v>197</v>
      </c>
      <c r="I19" s="9" t="s">
        <v>201</v>
      </c>
      <c r="J19" s="9" t="s">
        <v>205</v>
      </c>
      <c r="K19" s="9" t="s">
        <v>209</v>
      </c>
      <c r="L19" s="9" t="s">
        <v>211</v>
      </c>
      <c r="M19" s="9" t="s">
        <v>214</v>
      </c>
      <c r="N19" s="9" t="s">
        <v>217</v>
      </c>
      <c r="O19" s="199" t="s">
        <v>219</v>
      </c>
    </row>
    <row r="20" spans="2:24">
      <c r="B20" s="161" t="s">
        <v>334</v>
      </c>
      <c r="E20" s="12">
        <f>-'Cash Flows &amp; Summary'!AA4</f>
        <v>-15820218.099999998</v>
      </c>
      <c r="F20" s="12">
        <f>MAX('Pro Forma'!R57,0)</f>
        <v>778260.7006983161</v>
      </c>
      <c r="G20" s="12">
        <f>MAX(IF(SUM(D22:F22),0,'Pro Forma'!AE57),0)</f>
        <v>1387378.1727752462</v>
      </c>
      <c r="H20" s="12">
        <f>MAX(IF(SUM(E22:G22),0,'Pro Forma'!AR57),0)</f>
        <v>2072455.4333541789</v>
      </c>
      <c r="I20" s="12">
        <f>MAX(IF(SUM(F22:H22),0,'Pro Forma'!BE57),0)</f>
        <v>1217164.1132168742</v>
      </c>
      <c r="J20" s="12">
        <f>MAX(IF(SUM(F22:I22),0,'Pro Forma'!BR57),0)</f>
        <v>1321848.4842112451</v>
      </c>
      <c r="K20" s="12">
        <f>IF(SUM(F22:J22),0,'Pro Forma'!CE57)</f>
        <v>0</v>
      </c>
      <c r="L20" s="12">
        <f>IF(SUM(F22:K22),0,'Pro Forma'!CR57)</f>
        <v>0</v>
      </c>
      <c r="M20" s="12">
        <f>IF(SUM(F22:L22),0,'Pro Forma'!DE57)</f>
        <v>0</v>
      </c>
      <c r="N20" s="12">
        <f>IF(SUM(F22:M22),0,'Pro Forma'!DR57)</f>
        <v>0</v>
      </c>
      <c r="O20" s="242">
        <f>IF(SUM(F22:N22),0,'Pro Forma'!EE57)</f>
        <v>0</v>
      </c>
    </row>
    <row r="21" spans="2:24">
      <c r="B21" s="161" t="s">
        <v>337</v>
      </c>
      <c r="E21" s="12">
        <v>0</v>
      </c>
      <c r="F21" s="12">
        <f>'Pro Forma'!R53</f>
        <v>0</v>
      </c>
      <c r="G21" s="12">
        <f>'Pro Forma'!AE53</f>
        <v>0</v>
      </c>
      <c r="H21" s="12">
        <f>'Pro Forma'!AR53</f>
        <v>15772117.329420332</v>
      </c>
      <c r="I21" s="12">
        <f>'Pro Forma'!BE53</f>
        <v>0</v>
      </c>
      <c r="J21" s="12">
        <f>'Pro Forma'!BR53</f>
        <v>0</v>
      </c>
      <c r="K21" s="12">
        <f>'Pro Forma'!CE53</f>
        <v>0</v>
      </c>
      <c r="L21" s="12">
        <f>'Pro Forma'!CR53</f>
        <v>0</v>
      </c>
      <c r="M21" s="12">
        <f>'Pro Forma'!DE53</f>
        <v>0</v>
      </c>
      <c r="N21" s="12">
        <f>'Pro Forma'!DR53</f>
        <v>0</v>
      </c>
      <c r="O21" s="242">
        <f>'Pro Forma'!EE53</f>
        <v>0</v>
      </c>
    </row>
    <row r="22" spans="2:24">
      <c r="B22" s="161" t="s">
        <v>224</v>
      </c>
      <c r="E22" s="12">
        <v>0</v>
      </c>
      <c r="F22" s="12">
        <f>'Pro Forma'!R55</f>
        <v>0</v>
      </c>
      <c r="G22" s="12">
        <f>'Pro Forma'!AE55</f>
        <v>0</v>
      </c>
      <c r="H22" s="12">
        <f>'Pro Forma'!AR55</f>
        <v>0</v>
      </c>
      <c r="I22" s="12">
        <f>'Pro Forma'!BE55</f>
        <v>0</v>
      </c>
      <c r="J22" s="12">
        <f>'Pro Forma'!BR55</f>
        <v>31005196.055066705</v>
      </c>
      <c r="K22" s="12">
        <f>'Pro Forma'!CE55</f>
        <v>0</v>
      </c>
      <c r="L22" s="12">
        <f>'Pro Forma'!CR55</f>
        <v>0</v>
      </c>
      <c r="M22" s="12">
        <f>'Pro Forma'!DE55</f>
        <v>0</v>
      </c>
      <c r="N22" s="12">
        <f>'Pro Forma'!DR55</f>
        <v>0</v>
      </c>
      <c r="O22" s="242">
        <f>'Pro Forma'!EE55</f>
        <v>0</v>
      </c>
    </row>
    <row r="23" spans="2:24" ht="18.75">
      <c r="B23" s="161" t="s">
        <v>335</v>
      </c>
      <c r="E23" s="12">
        <f t="shared" ref="E23:O23" si="1">SUM(E20:E22)</f>
        <v>-15820218.099999998</v>
      </c>
      <c r="F23" s="12">
        <f>SUM(F20:F22)</f>
        <v>778260.7006983161</v>
      </c>
      <c r="G23" s="12">
        <f t="shared" si="1"/>
        <v>1387378.1727752462</v>
      </c>
      <c r="H23" s="12">
        <f>SUM(H20:H22)</f>
        <v>17844572.762774512</v>
      </c>
      <c r="I23" s="12">
        <f t="shared" si="1"/>
        <v>1217164.1132168742</v>
      </c>
      <c r="J23" s="12">
        <f t="shared" si="1"/>
        <v>32327044.539277948</v>
      </c>
      <c r="K23" s="12">
        <f t="shared" si="1"/>
        <v>0</v>
      </c>
      <c r="L23" s="12">
        <f t="shared" si="1"/>
        <v>0</v>
      </c>
      <c r="M23" s="12">
        <f t="shared" si="1"/>
        <v>0</v>
      </c>
      <c r="N23" s="12">
        <f t="shared" si="1"/>
        <v>0</v>
      </c>
      <c r="O23" s="242">
        <f t="shared" si="1"/>
        <v>0</v>
      </c>
      <c r="P23" s="1048">
        <f>SUM(F23:O23)-SUM(F84:O84,F87:O87,F40:O40)</f>
        <v>0</v>
      </c>
      <c r="Q23" s="1034" t="s">
        <v>338</v>
      </c>
      <c r="R23" s="1267"/>
      <c r="S23" s="1267"/>
      <c r="T23" s="1267"/>
      <c r="U23" s="1267"/>
      <c r="V23" s="1267"/>
      <c r="W23" s="1267"/>
      <c r="X23" s="1267"/>
    </row>
    <row r="24" spans="2:24" ht="15" customHeight="1">
      <c r="B24" s="724"/>
      <c r="C24" s="43"/>
      <c r="D24" s="43"/>
      <c r="E24" s="1194"/>
      <c r="F24" s="307">
        <f>F23-'Pro Forma'!R57-'Pro Forma'!R55-'Pro Forma'!R53</f>
        <v>0</v>
      </c>
      <c r="G24" s="307">
        <f>G23-'Pro Forma'!AE57-'Pro Forma'!AE55-'Pro Forma'!AE53</f>
        <v>0</v>
      </c>
      <c r="H24" s="307">
        <f>H23-'Pro Forma'!AR57-'Pro Forma'!AR55-'Pro Forma'!AR53</f>
        <v>0</v>
      </c>
      <c r="I24" s="307">
        <f>I23-'Pro Forma'!BE57-'Pro Forma'!BE56-'Pro Forma'!BE53</f>
        <v>0</v>
      </c>
      <c r="J24" s="307">
        <f>J23-'Pro Forma'!BR57-'Pro Forma'!BR55-'Pro Forma'!BR53</f>
        <v>0</v>
      </c>
      <c r="O24" s="725"/>
      <c r="P24" s="1049"/>
      <c r="R24" s="203"/>
      <c r="S24" s="203"/>
      <c r="T24" s="203"/>
      <c r="U24" s="203"/>
      <c r="V24" s="1265"/>
      <c r="W24" s="1265"/>
      <c r="X24" s="203"/>
    </row>
    <row r="25" spans="2:24">
      <c r="B25" s="724"/>
      <c r="C25" s="43"/>
      <c r="D25" s="43"/>
      <c r="E25" s="1194"/>
      <c r="O25" s="725"/>
      <c r="P25" s="1049"/>
      <c r="R25" s="203"/>
      <c r="S25" s="203"/>
      <c r="T25" s="203"/>
      <c r="U25" s="203"/>
      <c r="V25" s="203"/>
      <c r="W25" s="203"/>
      <c r="X25" s="203"/>
    </row>
    <row r="26" spans="2:24" ht="18.75">
      <c r="B26" s="1125" t="s">
        <v>80</v>
      </c>
      <c r="C26" s="337"/>
      <c r="D26" s="337"/>
      <c r="E26" s="337"/>
      <c r="F26" s="337"/>
      <c r="G26" s="337"/>
      <c r="H26" s="337"/>
      <c r="I26" s="337"/>
      <c r="J26" s="337"/>
      <c r="K26" s="337"/>
      <c r="L26" s="337"/>
      <c r="M26" s="337"/>
      <c r="N26" s="337"/>
      <c r="O26" s="1126"/>
      <c r="P26" s="1049"/>
      <c r="R26" s="203"/>
      <c r="S26" s="203"/>
      <c r="T26" s="203"/>
      <c r="U26" s="203"/>
      <c r="V26" s="203"/>
      <c r="W26" s="203"/>
      <c r="X26" s="203"/>
    </row>
    <row r="27" spans="2:24">
      <c r="B27" s="724"/>
      <c r="C27" s="43"/>
      <c r="D27" s="43"/>
      <c r="E27" s="9" t="s">
        <v>183</v>
      </c>
      <c r="F27" s="9">
        <v>1</v>
      </c>
      <c r="G27" s="9">
        <v>2</v>
      </c>
      <c r="H27" s="9">
        <v>3</v>
      </c>
      <c r="I27" s="9">
        <v>4</v>
      </c>
      <c r="J27" s="9">
        <v>5</v>
      </c>
      <c r="K27" s="9">
        <v>6</v>
      </c>
      <c r="L27" s="9">
        <v>7</v>
      </c>
      <c r="M27" s="9">
        <v>8</v>
      </c>
      <c r="N27" s="9">
        <v>9</v>
      </c>
      <c r="O27" s="199">
        <v>10</v>
      </c>
      <c r="P27" s="1049"/>
      <c r="R27" s="203"/>
      <c r="S27" s="203"/>
      <c r="T27" s="203"/>
      <c r="U27" s="203"/>
      <c r="V27" s="203"/>
      <c r="W27" s="203"/>
      <c r="X27" s="203"/>
    </row>
    <row r="28" spans="2:24">
      <c r="B28" s="161" t="s">
        <v>339</v>
      </c>
      <c r="C28" s="43"/>
      <c r="D28" s="43"/>
      <c r="E28" s="1194"/>
      <c r="F28" s="12">
        <f>-E39</f>
        <v>12000000</v>
      </c>
      <c r="G28" s="12">
        <f t="shared" ref="G28:H28" si="2">F28-F39</f>
        <v>12000000</v>
      </c>
      <c r="H28" s="12">
        <f t="shared" si="2"/>
        <v>12000000</v>
      </c>
      <c r="I28" s="12">
        <f>H28-H39</f>
        <v>0</v>
      </c>
      <c r="J28" s="12">
        <f>I28-I39</f>
        <v>0</v>
      </c>
      <c r="K28" s="12">
        <f>J28-J39</f>
        <v>0</v>
      </c>
      <c r="L28" s="12">
        <f t="shared" ref="L28:O28" si="3">K28-K39</f>
        <v>0</v>
      </c>
      <c r="M28" s="12">
        <f t="shared" si="3"/>
        <v>0</v>
      </c>
      <c r="N28" s="12">
        <f t="shared" si="3"/>
        <v>0</v>
      </c>
      <c r="O28" s="242">
        <f t="shared" si="3"/>
        <v>0</v>
      </c>
      <c r="P28" s="1049"/>
      <c r="R28" s="203"/>
      <c r="S28" s="203"/>
      <c r="T28" s="203"/>
      <c r="U28" s="203"/>
      <c r="V28" s="203"/>
      <c r="W28" s="203"/>
      <c r="X28" s="203"/>
    </row>
    <row r="29" spans="2:24">
      <c r="B29" s="724" t="s">
        <v>340</v>
      </c>
      <c r="C29" s="43"/>
      <c r="D29" s="43"/>
      <c r="E29" s="1194"/>
      <c r="F29" s="12">
        <v>0</v>
      </c>
      <c r="G29" s="12">
        <f>F31</f>
        <v>225493.16396902921</v>
      </c>
      <c r="H29" s="12">
        <f>G31</f>
        <v>0</v>
      </c>
      <c r="I29" s="12">
        <f>H31</f>
        <v>0</v>
      </c>
      <c r="J29" s="12">
        <f t="shared" ref="J29:O29" si="4">I31</f>
        <v>0</v>
      </c>
      <c r="K29" s="12">
        <f t="shared" si="4"/>
        <v>0</v>
      </c>
      <c r="L29" s="12">
        <f t="shared" si="4"/>
        <v>0</v>
      </c>
      <c r="M29" s="12">
        <f t="shared" si="4"/>
        <v>0</v>
      </c>
      <c r="N29" s="12">
        <f t="shared" si="4"/>
        <v>0</v>
      </c>
      <c r="O29" s="242">
        <f t="shared" si="4"/>
        <v>0</v>
      </c>
      <c r="P29" s="1049"/>
      <c r="Q29" s="1048"/>
      <c r="R29" s="203"/>
      <c r="S29" s="203"/>
      <c r="T29" s="1153"/>
      <c r="U29" s="1153"/>
      <c r="V29" s="203"/>
      <c r="W29" s="203"/>
      <c r="X29" s="203"/>
    </row>
    <row r="30" spans="2:24">
      <c r="B30" s="161" t="s">
        <v>341</v>
      </c>
      <c r="C30" s="43"/>
      <c r="D30" s="43"/>
      <c r="E30" s="1194"/>
      <c r="F30" s="726">
        <f>SUMIF('7acres Schedule'!$A$8:$A$44,Waterfall!F27,'7acres Schedule'!$E$8:$E$44)</f>
        <v>1003753.8646673453</v>
      </c>
      <c r="G30" s="726">
        <f>SUMIF('7acres Schedule'!$A$8:$A$44,Waterfall!G27,'7acres Schedule'!$E$8:$E$44)</f>
        <v>1063726.7189168248</v>
      </c>
      <c r="H30" s="726">
        <f>SUMIF('7acres Schedule'!$A$8:$A$44,Waterfall!H27,'7acres Schedule'!$E$8:$E$44)</f>
        <v>1130271.703132855</v>
      </c>
      <c r="I30" s="726">
        <f>I28*'Inputs &amp; Assumptions'!$V$31</f>
        <v>0</v>
      </c>
      <c r="J30" s="726">
        <f>J28*'Inputs &amp; Assumptions'!$V$31</f>
        <v>0</v>
      </c>
      <c r="K30" s="726">
        <f>K28*'Inputs &amp; Assumptions'!$V$31</f>
        <v>0</v>
      </c>
      <c r="L30" s="726">
        <f>L28*'Inputs &amp; Assumptions'!$V$31</f>
        <v>0</v>
      </c>
      <c r="M30" s="726">
        <f>M28*'Inputs &amp; Assumptions'!$V$31</f>
        <v>0</v>
      </c>
      <c r="N30" s="726">
        <f>N28*'Inputs &amp; Assumptions'!$V$31</f>
        <v>0</v>
      </c>
      <c r="O30" s="727">
        <f>O28*'Inputs &amp; Assumptions'!$V$31</f>
        <v>0</v>
      </c>
      <c r="P30" s="1049"/>
      <c r="R30" s="203"/>
      <c r="S30" s="203"/>
      <c r="T30" s="1154"/>
      <c r="U30" s="1154"/>
      <c r="V30" s="203"/>
      <c r="W30" s="203"/>
      <c r="X30" s="203"/>
    </row>
    <row r="31" spans="2:24" ht="17.100000000000001" customHeight="1">
      <c r="B31" s="161" t="s">
        <v>342</v>
      </c>
      <c r="C31" s="43"/>
      <c r="D31" s="43"/>
      <c r="E31" s="1194"/>
      <c r="F31" s="726">
        <f>F29+F30-F32</f>
        <v>225493.16396902921</v>
      </c>
      <c r="G31" s="726">
        <f>G29+G30-G32</f>
        <v>0</v>
      </c>
      <c r="H31" s="726">
        <f>H29+H30-H32</f>
        <v>0</v>
      </c>
      <c r="I31" s="726">
        <f t="shared" ref="I31:O31" si="5">I29+I30-I32</f>
        <v>0</v>
      </c>
      <c r="J31" s="726">
        <f t="shared" si="5"/>
        <v>0</v>
      </c>
      <c r="K31" s="726">
        <f t="shared" si="5"/>
        <v>0</v>
      </c>
      <c r="L31" s="726">
        <f t="shared" si="5"/>
        <v>0</v>
      </c>
      <c r="M31" s="726">
        <f t="shared" si="5"/>
        <v>0</v>
      </c>
      <c r="N31" s="726">
        <f t="shared" si="5"/>
        <v>0</v>
      </c>
      <c r="O31" s="727">
        <f t="shared" si="5"/>
        <v>0</v>
      </c>
      <c r="P31" s="1049"/>
      <c r="R31" s="203"/>
      <c r="S31" s="1157"/>
      <c r="T31" s="1159"/>
      <c r="U31" s="1159"/>
      <c r="V31" s="203"/>
      <c r="W31" s="203"/>
      <c r="X31" s="203"/>
    </row>
    <row r="32" spans="2:24">
      <c r="B32" s="1127" t="s">
        <v>343</v>
      </c>
      <c r="C32" s="371"/>
      <c r="D32" s="371"/>
      <c r="E32" s="372">
        <f>'Inputs &amp; Assumptions'!V29</f>
        <v>12000000</v>
      </c>
      <c r="F32" s="373">
        <f>MIN(F23,SUM(F29:F30))</f>
        <v>778260.7006983161</v>
      </c>
      <c r="G32" s="373">
        <f>MIN(G23,SUM(G29:G30))</f>
        <v>1289219.882885854</v>
      </c>
      <c r="H32" s="373">
        <f>MIN(H23,SUM(H29:H30))</f>
        <v>1130271.703132855</v>
      </c>
      <c r="I32" s="373">
        <f t="shared" ref="I32:O32" si="6">MIN(I23,SUM(I29:I30))</f>
        <v>0</v>
      </c>
      <c r="J32" s="373">
        <f t="shared" si="6"/>
        <v>0</v>
      </c>
      <c r="K32" s="373">
        <f t="shared" si="6"/>
        <v>0</v>
      </c>
      <c r="L32" s="373">
        <f t="shared" si="6"/>
        <v>0</v>
      </c>
      <c r="M32" s="373">
        <f t="shared" si="6"/>
        <v>0</v>
      </c>
      <c r="N32" s="373">
        <f t="shared" si="6"/>
        <v>0</v>
      </c>
      <c r="O32" s="1128">
        <f t="shared" si="6"/>
        <v>0</v>
      </c>
      <c r="P32" s="1041"/>
      <c r="Q32" s="1034"/>
      <c r="R32" s="203"/>
      <c r="S32" s="1158"/>
      <c r="T32" s="1158"/>
      <c r="U32" s="1158"/>
      <c r="V32" s="203"/>
      <c r="W32" s="203"/>
      <c r="X32" s="203"/>
    </row>
    <row r="33" spans="2:31">
      <c r="B33" s="1129" t="s">
        <v>338</v>
      </c>
      <c r="C33" s="1034"/>
      <c r="D33" s="1034"/>
      <c r="E33" s="1037"/>
      <c r="F33" s="1032">
        <f>IFERROR(F30/F28,0)</f>
        <v>8.3646155388945445E-2</v>
      </c>
      <c r="G33" s="1032">
        <f t="shared" ref="G33:O33" si="7">IFERROR(G30/G28,0)</f>
        <v>8.8643893243068733E-2</v>
      </c>
      <c r="H33" s="1032">
        <f t="shared" si="7"/>
        <v>9.418930859440458E-2</v>
      </c>
      <c r="I33" s="1032">
        <f t="shared" si="7"/>
        <v>0</v>
      </c>
      <c r="J33" s="1032">
        <f t="shared" si="7"/>
        <v>0</v>
      </c>
      <c r="K33" s="1032">
        <f t="shared" si="7"/>
        <v>0</v>
      </c>
      <c r="L33" s="1032">
        <f t="shared" si="7"/>
        <v>0</v>
      </c>
      <c r="M33" s="1032">
        <f t="shared" si="7"/>
        <v>0</v>
      </c>
      <c r="N33" s="1032">
        <f t="shared" si="7"/>
        <v>0</v>
      </c>
      <c r="O33" s="1130">
        <f t="shared" si="7"/>
        <v>0</v>
      </c>
      <c r="P33" s="1049"/>
      <c r="R33" s="203"/>
      <c r="S33" s="1159"/>
      <c r="T33" s="1159"/>
      <c r="U33" s="1159"/>
      <c r="V33" s="203"/>
      <c r="W33" s="203"/>
      <c r="X33" s="203"/>
    </row>
    <row r="34" spans="2:31">
      <c r="B34" s="161" t="s">
        <v>340</v>
      </c>
      <c r="C34" s="43"/>
      <c r="D34" s="43"/>
      <c r="E34" s="1194"/>
      <c r="F34" s="726">
        <v>0</v>
      </c>
      <c r="G34" s="726">
        <f>F36</f>
        <v>752815.39850050909</v>
      </c>
      <c r="H34" s="726">
        <f>G36</f>
        <v>1550610.4376881276</v>
      </c>
      <c r="I34" s="726">
        <f t="shared" ref="I34:O34" si="8">H36</f>
        <v>0</v>
      </c>
      <c r="J34" s="726">
        <f t="shared" si="8"/>
        <v>0</v>
      </c>
      <c r="K34" s="726">
        <f t="shared" si="8"/>
        <v>0</v>
      </c>
      <c r="L34" s="726">
        <f t="shared" si="8"/>
        <v>0</v>
      </c>
      <c r="M34" s="726">
        <f t="shared" si="8"/>
        <v>0</v>
      </c>
      <c r="N34" s="726">
        <f t="shared" si="8"/>
        <v>0</v>
      </c>
      <c r="O34" s="727">
        <f t="shared" si="8"/>
        <v>0</v>
      </c>
      <c r="P34" s="1049"/>
      <c r="R34" s="203"/>
      <c r="S34" s="1159"/>
      <c r="T34" s="1159"/>
      <c r="U34" s="1159"/>
      <c r="V34" s="203"/>
      <c r="W34" s="203"/>
      <c r="X34" s="203"/>
    </row>
    <row r="35" spans="2:31">
      <c r="B35" s="161" t="s">
        <v>95</v>
      </c>
      <c r="C35" s="43"/>
      <c r="D35" s="43"/>
      <c r="E35" s="1194"/>
      <c r="F35" s="726">
        <f>SUMIF('7acres Schedule'!$A$8:$A$44,Waterfall!F27,'7acres Schedule'!$F$8:$F$44)</f>
        <v>752815.39850050909</v>
      </c>
      <c r="G35" s="726">
        <f>SUMIF('7acres Schedule'!$A$8:$A$44,Waterfall!G27,'7acres Schedule'!$F$8:$F$44)</f>
        <v>797795.03918761865</v>
      </c>
      <c r="H35" s="726">
        <f>SUMIF('7acres Schedule'!$A$8:$A$44,Waterfall!H27,'7acres Schedule'!$F$8:$F$44)</f>
        <v>847703.77734964131</v>
      </c>
      <c r="I35" s="726">
        <f>I28+I34*'Inputs &amp; Assumptions'!$V$32</f>
        <v>0</v>
      </c>
      <c r="J35" s="726">
        <f>J28+J34*'Inputs &amp; Assumptions'!$V$32</f>
        <v>0</v>
      </c>
      <c r="K35" s="726">
        <f>K28+K34*'Inputs &amp; Assumptions'!$V$32</f>
        <v>0</v>
      </c>
      <c r="L35" s="726">
        <f>L28+L34*'Inputs &amp; Assumptions'!$V$32</f>
        <v>0</v>
      </c>
      <c r="M35" s="726">
        <f>M28+M34*'Inputs &amp; Assumptions'!$V$32</f>
        <v>0</v>
      </c>
      <c r="N35" s="726">
        <f>N28+N34*'Inputs &amp; Assumptions'!$V$32</f>
        <v>0</v>
      </c>
      <c r="O35" s="727">
        <f>O28+O34*'Inputs &amp; Assumptions'!$V$32</f>
        <v>0</v>
      </c>
      <c r="P35" s="1049"/>
      <c r="R35" s="203"/>
      <c r="S35" s="203"/>
      <c r="T35" s="1159"/>
      <c r="U35" s="1159"/>
      <c r="V35" s="203"/>
      <c r="W35" s="203"/>
      <c r="X35" s="203"/>
    </row>
    <row r="36" spans="2:31">
      <c r="B36" s="161" t="s">
        <v>342</v>
      </c>
      <c r="C36" s="43"/>
      <c r="D36" s="43"/>
      <c r="E36" s="1194"/>
      <c r="F36" s="726">
        <f>F34+F35-F38</f>
        <v>752815.39850050909</v>
      </c>
      <c r="G36" s="726">
        <f>G34+G35-G38</f>
        <v>1550610.4376881276</v>
      </c>
      <c r="H36" s="726">
        <f>H34+H35-H38</f>
        <v>0</v>
      </c>
      <c r="I36" s="726">
        <f t="shared" ref="I36:O36" si="9">I34+I35-I38</f>
        <v>0</v>
      </c>
      <c r="J36" s="726">
        <f t="shared" si="9"/>
        <v>0</v>
      </c>
      <c r="K36" s="726">
        <f t="shared" si="9"/>
        <v>0</v>
      </c>
      <c r="L36" s="726">
        <f t="shared" si="9"/>
        <v>0</v>
      </c>
      <c r="M36" s="726">
        <f t="shared" si="9"/>
        <v>0</v>
      </c>
      <c r="N36" s="726">
        <f t="shared" si="9"/>
        <v>0</v>
      </c>
      <c r="O36" s="727">
        <f t="shared" si="9"/>
        <v>0</v>
      </c>
      <c r="P36" s="1049"/>
      <c r="R36" s="203"/>
      <c r="S36" s="203"/>
      <c r="U36" s="203"/>
      <c r="V36" s="203"/>
      <c r="W36" s="203"/>
      <c r="X36" s="203"/>
    </row>
    <row r="37" spans="2:31" s="262" customFormat="1">
      <c r="B37" s="1131" t="s">
        <v>338</v>
      </c>
      <c r="C37" s="1195"/>
      <c r="D37" s="1195"/>
      <c r="E37" s="1196"/>
      <c r="F37" s="1073">
        <f>IFERROR(F35/F28,0)</f>
        <v>6.2734616541709087E-2</v>
      </c>
      <c r="G37" s="1073">
        <f t="shared" ref="G37:O37" si="10">IFERROR(G35/G28,0)</f>
        <v>6.6482919932301557E-2</v>
      </c>
      <c r="H37" s="1073">
        <f t="shared" si="10"/>
        <v>7.0641981445803442E-2</v>
      </c>
      <c r="I37" s="1032">
        <f t="shared" si="10"/>
        <v>0</v>
      </c>
      <c r="J37" s="1032">
        <f t="shared" si="10"/>
        <v>0</v>
      </c>
      <c r="K37" s="1032">
        <f t="shared" si="10"/>
        <v>0</v>
      </c>
      <c r="L37" s="1032">
        <f t="shared" si="10"/>
        <v>0</v>
      </c>
      <c r="M37" s="1032">
        <f t="shared" si="10"/>
        <v>0</v>
      </c>
      <c r="N37" s="1032">
        <f t="shared" si="10"/>
        <v>0</v>
      </c>
      <c r="O37" s="1132">
        <f t="shared" si="10"/>
        <v>0</v>
      </c>
      <c r="P37" s="1033"/>
      <c r="Q37" s="1034"/>
      <c r="R37" s="1035"/>
      <c r="S37" s="1155"/>
      <c r="T37" s="203"/>
      <c r="U37" s="1036"/>
      <c r="V37" s="1036"/>
      <c r="W37" s="1036"/>
      <c r="X37" s="1036"/>
    </row>
    <row r="38" spans="2:31">
      <c r="B38" s="1127" t="s">
        <v>344</v>
      </c>
      <c r="C38" s="371"/>
      <c r="D38" s="371"/>
      <c r="E38" s="372">
        <v>0</v>
      </c>
      <c r="F38" s="373">
        <f>MIN(SUM(F21:F22),SUM(F34:F35))</f>
        <v>0</v>
      </c>
      <c r="G38" s="373">
        <f t="shared" ref="G38:O38" si="11">MIN(SUM(G21:G22),SUM(G34:G35))</f>
        <v>0</v>
      </c>
      <c r="H38" s="373">
        <f>MIN(SUM(H21:H22),SUM(H34:H35))</f>
        <v>2398314.2150377687</v>
      </c>
      <c r="I38" s="373">
        <f t="shared" si="11"/>
        <v>0</v>
      </c>
      <c r="J38" s="373">
        <f>MIN(SUM(J21:J22),SUM(J34:J35))</f>
        <v>0</v>
      </c>
      <c r="K38" s="373">
        <f t="shared" si="11"/>
        <v>0</v>
      </c>
      <c r="L38" s="373">
        <f t="shared" si="11"/>
        <v>0</v>
      </c>
      <c r="M38" s="373">
        <f t="shared" si="11"/>
        <v>0</v>
      </c>
      <c r="N38" s="373">
        <f t="shared" si="11"/>
        <v>0</v>
      </c>
      <c r="O38" s="1128">
        <f t="shared" si="11"/>
        <v>0</v>
      </c>
      <c r="R38" s="203"/>
      <c r="S38" s="1151"/>
      <c r="T38" s="203"/>
      <c r="U38" s="203"/>
      <c r="V38" s="203"/>
      <c r="W38" s="203"/>
      <c r="X38" s="203"/>
    </row>
    <row r="39" spans="2:31">
      <c r="B39" s="1127" t="s">
        <v>237</v>
      </c>
      <c r="C39" s="371"/>
      <c r="D39" s="371"/>
      <c r="E39" s="372">
        <f>-'Cash Flows &amp; Summary'!Q28</f>
        <v>-12000000</v>
      </c>
      <c r="F39" s="373">
        <f>MIN(F28,SUM(F21:F22)-F38)</f>
        <v>0</v>
      </c>
      <c r="G39" s="373">
        <f t="shared" ref="G39:O39" si="12">MIN(G28,SUM(G21:G22)-G38)</f>
        <v>0</v>
      </c>
      <c r="H39" s="373">
        <f>MIN(H28,SUM(H21:H22)-H38)</f>
        <v>12000000</v>
      </c>
      <c r="I39" s="373">
        <f t="shared" si="12"/>
        <v>0</v>
      </c>
      <c r="J39" s="373">
        <f>MIN(J28,SUM(J21:J22)-J38)</f>
        <v>0</v>
      </c>
      <c r="K39" s="373">
        <f t="shared" si="12"/>
        <v>0</v>
      </c>
      <c r="L39" s="373">
        <f t="shared" si="12"/>
        <v>0</v>
      </c>
      <c r="M39" s="373">
        <f t="shared" si="12"/>
        <v>0</v>
      </c>
      <c r="N39" s="373">
        <f t="shared" si="12"/>
        <v>0</v>
      </c>
      <c r="O39" s="1128">
        <f t="shared" si="12"/>
        <v>0</v>
      </c>
      <c r="R39" s="203"/>
      <c r="S39" s="203"/>
      <c r="T39" s="203"/>
      <c r="U39" s="203"/>
      <c r="V39" s="203"/>
      <c r="W39" s="203"/>
      <c r="X39" s="203"/>
    </row>
    <row r="40" spans="2:31">
      <c r="B40" s="1127" t="s">
        <v>345</v>
      </c>
      <c r="C40" s="371"/>
      <c r="D40" s="371"/>
      <c r="E40" s="372"/>
      <c r="F40" s="373">
        <f t="shared" ref="F40:O40" si="13">F32+F38+F39</f>
        <v>778260.7006983161</v>
      </c>
      <c r="G40" s="373">
        <f>G32+G38+G39</f>
        <v>1289219.882885854</v>
      </c>
      <c r="H40" s="373">
        <f>H32+H38+H39</f>
        <v>15528585.918170623</v>
      </c>
      <c r="I40" s="373">
        <f t="shared" si="13"/>
        <v>0</v>
      </c>
      <c r="J40" s="373">
        <f t="shared" si="13"/>
        <v>0</v>
      </c>
      <c r="K40" s="373">
        <f t="shared" si="13"/>
        <v>0</v>
      </c>
      <c r="L40" s="373">
        <f t="shared" si="13"/>
        <v>0</v>
      </c>
      <c r="M40" s="373">
        <f t="shared" si="13"/>
        <v>0</v>
      </c>
      <c r="N40" s="373">
        <f t="shared" si="13"/>
        <v>0</v>
      </c>
      <c r="O40" s="1128">
        <f t="shared" si="13"/>
        <v>0</v>
      </c>
      <c r="P40" s="1041">
        <f>((SUM(F40:O40)+E36)/-E39-1)/3</f>
        <v>0.15544629171541099</v>
      </c>
      <c r="Q40" s="1034" t="s">
        <v>338</v>
      </c>
      <c r="R40" s="203"/>
      <c r="S40" s="1152"/>
      <c r="T40" s="203"/>
      <c r="U40" s="203"/>
      <c r="V40" s="203"/>
      <c r="W40" s="203"/>
      <c r="X40" s="203"/>
    </row>
    <row r="41" spans="2:31">
      <c r="B41" s="1133" t="s">
        <v>338</v>
      </c>
      <c r="C41" s="1038"/>
      <c r="D41" s="1038"/>
      <c r="E41" s="1039"/>
      <c r="F41" s="1040">
        <f>F33+F37</f>
        <v>0.14638077193065452</v>
      </c>
      <c r="G41" s="1040">
        <f t="shared" ref="G41:O41" si="14">G33+G37</f>
        <v>0.1551268131753703</v>
      </c>
      <c r="H41" s="1040">
        <f t="shared" si="14"/>
        <v>0.16483129004020802</v>
      </c>
      <c r="I41" s="1040">
        <f t="shared" si="14"/>
        <v>0</v>
      </c>
      <c r="J41" s="1040">
        <f t="shared" si="14"/>
        <v>0</v>
      </c>
      <c r="K41" s="1040">
        <f t="shared" si="14"/>
        <v>0</v>
      </c>
      <c r="L41" s="1040">
        <f t="shared" si="14"/>
        <v>0</v>
      </c>
      <c r="M41" s="1040">
        <f t="shared" si="14"/>
        <v>0</v>
      </c>
      <c r="N41" s="1040">
        <f t="shared" si="14"/>
        <v>0</v>
      </c>
      <c r="O41" s="1134">
        <f t="shared" si="14"/>
        <v>0</v>
      </c>
      <c r="P41" s="1049"/>
      <c r="R41" s="203"/>
      <c r="S41" s="203"/>
      <c r="T41" s="203"/>
      <c r="U41" s="203"/>
      <c r="V41" s="203"/>
      <c r="W41" s="203"/>
      <c r="X41" s="203"/>
    </row>
    <row r="42" spans="2:31" ht="18.75">
      <c r="B42" s="1125" t="s">
        <v>346</v>
      </c>
      <c r="C42" s="337"/>
      <c r="D42" s="337"/>
      <c r="E42" s="337"/>
      <c r="F42" s="337"/>
      <c r="G42" s="337"/>
      <c r="H42" s="337"/>
      <c r="I42" s="337"/>
      <c r="J42" s="337"/>
      <c r="K42" s="337"/>
      <c r="L42" s="337"/>
      <c r="M42" s="337"/>
      <c r="N42" s="337"/>
      <c r="O42" s="1126"/>
      <c r="R42" s="1266"/>
      <c r="S42" s="1266"/>
      <c r="T42" s="1266"/>
      <c r="U42" s="1266"/>
      <c r="V42" s="1266"/>
      <c r="W42" s="1266"/>
    </row>
    <row r="43" spans="2:31">
      <c r="B43" s="1135"/>
      <c r="C43" s="949"/>
      <c r="D43" s="949"/>
      <c r="E43" s="1031" t="s">
        <v>183</v>
      </c>
      <c r="F43" s="1031">
        <v>1</v>
      </c>
      <c r="G43" s="1031">
        <v>2</v>
      </c>
      <c r="H43" s="1031">
        <v>3</v>
      </c>
      <c r="I43" s="1031">
        <v>4</v>
      </c>
      <c r="J43" s="1031">
        <v>5</v>
      </c>
      <c r="K43" s="1031">
        <v>6</v>
      </c>
      <c r="L43" s="1031">
        <v>7</v>
      </c>
      <c r="M43" s="1031">
        <v>8</v>
      </c>
      <c r="N43" s="1031">
        <v>9</v>
      </c>
      <c r="O43" s="1136">
        <v>10</v>
      </c>
      <c r="R43" s="203"/>
      <c r="S43" s="203"/>
      <c r="T43" s="1265"/>
      <c r="U43" s="1265"/>
      <c r="V43" s="203"/>
      <c r="W43" s="203"/>
    </row>
    <row r="44" spans="2:31">
      <c r="B44" s="161"/>
      <c r="E44" s="9"/>
      <c r="F44" s="9"/>
      <c r="G44" s="9"/>
      <c r="H44" s="9"/>
      <c r="I44" s="9"/>
      <c r="J44" s="9"/>
      <c r="K44" s="9"/>
      <c r="L44" s="9"/>
      <c r="M44" s="9"/>
      <c r="N44" s="9"/>
      <c r="O44" s="199"/>
      <c r="R44" s="203"/>
      <c r="S44" s="1156"/>
      <c r="T44" s="1156"/>
      <c r="U44" s="1156"/>
      <c r="V44" s="1156"/>
      <c r="W44" s="1156"/>
      <c r="X44" s="1156"/>
      <c r="Y44" s="1156"/>
      <c r="Z44" s="1156"/>
      <c r="AA44" s="1156"/>
      <c r="AB44" s="1156"/>
      <c r="AC44" s="1156"/>
      <c r="AD44" s="1156"/>
      <c r="AE44" s="1156"/>
    </row>
    <row r="45" spans="2:31">
      <c r="B45" s="724" t="s">
        <v>347</v>
      </c>
      <c r="D45" s="9" t="s">
        <v>182</v>
      </c>
      <c r="E45" s="12"/>
      <c r="F45" s="12"/>
      <c r="G45" s="12"/>
      <c r="H45" s="12"/>
      <c r="I45" s="12"/>
      <c r="J45" s="12"/>
      <c r="K45" s="12"/>
      <c r="L45" s="12"/>
      <c r="M45" s="12"/>
      <c r="N45" s="12"/>
      <c r="O45" s="242"/>
      <c r="R45" s="11"/>
      <c r="S45" s="27"/>
      <c r="T45" s="27"/>
      <c r="U45" s="27"/>
      <c r="V45" s="27"/>
      <c r="W45" s="27"/>
      <c r="X45" s="27"/>
      <c r="Y45" s="27"/>
      <c r="Z45" s="27"/>
      <c r="AA45" s="27"/>
      <c r="AB45" s="27"/>
      <c r="AC45" s="27"/>
      <c r="AD45" s="202"/>
    </row>
    <row r="46" spans="2:31">
      <c r="B46" s="1137" t="s">
        <v>348</v>
      </c>
      <c r="D46" s="1194">
        <f>+IRR(E46:O46)</f>
        <v>0.18646569049311901</v>
      </c>
      <c r="E46" s="12">
        <f>E23</f>
        <v>-15820218.099999998</v>
      </c>
      <c r="F46" s="12">
        <f>F23-F40</f>
        <v>0</v>
      </c>
      <c r="G46" s="12">
        <f>G23-G40</f>
        <v>98158.28988939221</v>
      </c>
      <c r="H46" s="12">
        <f>H23-H40</f>
        <v>2315986.8446038887</v>
      </c>
      <c r="I46" s="12">
        <f>I23-I40</f>
        <v>1217164.1132168742</v>
      </c>
      <c r="J46" s="12">
        <f>J23-J40</f>
        <v>32327044.539277948</v>
      </c>
      <c r="K46" s="12">
        <f t="shared" ref="K46:O46" si="15">K23-K40</f>
        <v>0</v>
      </c>
      <c r="L46" s="12">
        <f t="shared" si="15"/>
        <v>0</v>
      </c>
      <c r="M46" s="12">
        <f t="shared" si="15"/>
        <v>0</v>
      </c>
      <c r="N46" s="12">
        <f t="shared" si="15"/>
        <v>0</v>
      </c>
      <c r="O46" s="242">
        <f t="shared" si="15"/>
        <v>0</v>
      </c>
      <c r="Q46" s="755"/>
      <c r="R46" s="11"/>
      <c r="S46" s="11"/>
      <c r="T46" s="11"/>
      <c r="U46" s="11"/>
      <c r="V46" s="11"/>
      <c r="W46" s="11"/>
      <c r="X46" s="11"/>
      <c r="Y46" s="11"/>
      <c r="Z46" s="11"/>
      <c r="AA46" s="11"/>
      <c r="AB46" s="11"/>
      <c r="AC46" s="11"/>
      <c r="AD46" s="11"/>
      <c r="AE46" s="11"/>
    </row>
    <row r="47" spans="2:31">
      <c r="B47" s="724" t="s">
        <v>349</v>
      </c>
      <c r="E47" s="12"/>
      <c r="F47" s="12"/>
      <c r="G47" s="12"/>
      <c r="H47" s="12"/>
      <c r="I47" s="12"/>
      <c r="J47" s="12"/>
      <c r="K47" s="12"/>
      <c r="L47" s="12"/>
      <c r="M47" s="12"/>
      <c r="N47" s="12"/>
      <c r="O47" s="242"/>
      <c r="R47" s="11"/>
      <c r="S47" s="26"/>
      <c r="T47" s="26"/>
      <c r="U47" s="26"/>
      <c r="V47" s="26"/>
      <c r="W47" s="26"/>
      <c r="X47" s="26"/>
      <c r="Y47" s="26"/>
      <c r="Z47" s="26"/>
      <c r="AA47" s="26"/>
      <c r="AB47" s="26"/>
      <c r="AC47" s="26"/>
      <c r="AD47" s="26"/>
      <c r="AE47" s="26"/>
    </row>
    <row r="48" spans="2:31">
      <c r="B48" s="728" t="s">
        <v>339</v>
      </c>
      <c r="E48" s="31">
        <f>-E23</f>
        <v>15820218.099999998</v>
      </c>
      <c r="F48" s="12">
        <f>E48</f>
        <v>15820218.099999998</v>
      </c>
      <c r="G48" s="12">
        <f>F48-F62</f>
        <v>15820218.099999998</v>
      </c>
      <c r="H48" s="12">
        <f>G48-G62</f>
        <v>15820218.099999998</v>
      </c>
      <c r="I48" s="12">
        <f>H48-H62</f>
        <v>15820218.099999998</v>
      </c>
      <c r="J48" s="12">
        <f>I48-I62</f>
        <v>15820218.099999998</v>
      </c>
      <c r="K48" s="12">
        <f>J48-J62</f>
        <v>0</v>
      </c>
      <c r="L48" s="12">
        <f t="shared" ref="L48:N48" si="16">K48-K62</f>
        <v>0</v>
      </c>
      <c r="M48" s="12">
        <f t="shared" si="16"/>
        <v>0</v>
      </c>
      <c r="N48" s="12">
        <f t="shared" si="16"/>
        <v>0</v>
      </c>
      <c r="O48" s="242">
        <f>N48-N62</f>
        <v>0</v>
      </c>
      <c r="R48" s="103"/>
      <c r="S48" s="103"/>
      <c r="T48" s="12"/>
      <c r="U48" s="12"/>
      <c r="V48" s="12"/>
      <c r="W48" s="12"/>
    </row>
    <row r="49" spans="2:25">
      <c r="B49" s="728" t="s">
        <v>350</v>
      </c>
      <c r="C49" s="1197"/>
      <c r="D49" s="1197"/>
      <c r="E49" s="1198"/>
      <c r="F49" s="12">
        <f>F48*Pref</f>
        <v>1265617.4479999999</v>
      </c>
      <c r="G49" s="12">
        <f>G48*Pref+F51</f>
        <v>2531234.8959999997</v>
      </c>
      <c r="H49" s="12">
        <f>H48*Pref+G51</f>
        <v>3698694.0541106071</v>
      </c>
      <c r="I49" s="12">
        <f>I48*Pref+H51</f>
        <v>2648324.6575067183</v>
      </c>
      <c r="J49" s="12">
        <f>J48*Pref+I51</f>
        <v>2696777.992289844</v>
      </c>
      <c r="K49" s="12">
        <f t="shared" ref="K49:N49" si="17">K48*Pref+J51</f>
        <v>0</v>
      </c>
      <c r="L49" s="12">
        <f t="shared" si="17"/>
        <v>0</v>
      </c>
      <c r="M49" s="12">
        <f t="shared" si="17"/>
        <v>0</v>
      </c>
      <c r="N49" s="12">
        <f t="shared" si="17"/>
        <v>0</v>
      </c>
      <c r="O49" s="242">
        <f>O48*Pref+N51</f>
        <v>0</v>
      </c>
      <c r="Q49" s="1050"/>
      <c r="R49" s="31"/>
      <c r="S49" s="305"/>
      <c r="T49" s="31"/>
      <c r="U49" s="31"/>
      <c r="V49" s="31"/>
      <c r="W49" s="31"/>
      <c r="X49" s="31"/>
      <c r="Y49" s="31"/>
    </row>
    <row r="50" spans="2:25">
      <c r="B50" s="1127" t="s">
        <v>351</v>
      </c>
      <c r="C50" s="371"/>
      <c r="D50" s="371"/>
      <c r="E50" s="372">
        <f>-E48</f>
        <v>-15820218.099999998</v>
      </c>
      <c r="F50" s="373">
        <f t="shared" ref="F50:O50" si="18">MIN(F49,F46)</f>
        <v>0</v>
      </c>
      <c r="G50" s="373">
        <f t="shared" si="18"/>
        <v>98158.28988939221</v>
      </c>
      <c r="H50" s="373">
        <f t="shared" si="18"/>
        <v>2315986.8446038887</v>
      </c>
      <c r="I50" s="373">
        <f t="shared" si="18"/>
        <v>1217164.1132168742</v>
      </c>
      <c r="J50" s="373">
        <f t="shared" si="18"/>
        <v>2696777.992289844</v>
      </c>
      <c r="K50" s="373">
        <f t="shared" si="18"/>
        <v>0</v>
      </c>
      <c r="L50" s="373">
        <f t="shared" si="18"/>
        <v>0</v>
      </c>
      <c r="M50" s="373">
        <f t="shared" si="18"/>
        <v>0</v>
      </c>
      <c r="N50" s="373">
        <f t="shared" si="18"/>
        <v>0</v>
      </c>
      <c r="O50" s="1128">
        <f t="shared" si="18"/>
        <v>0</v>
      </c>
      <c r="Q50" s="1034"/>
      <c r="R50" s="1030"/>
      <c r="S50" s="377"/>
      <c r="T50" s="12"/>
      <c r="U50" s="12"/>
      <c r="V50" s="12"/>
      <c r="W50" s="12"/>
    </row>
    <row r="51" spans="2:25">
      <c r="B51" s="728" t="s">
        <v>352</v>
      </c>
      <c r="E51" s="12"/>
      <c r="F51" s="12">
        <f>F49-F50</f>
        <v>1265617.4479999999</v>
      </c>
      <c r="G51" s="12">
        <f t="shared" ref="G51:O51" si="19">G49-G50</f>
        <v>2433076.6061106073</v>
      </c>
      <c r="H51" s="12">
        <f>H49-H50</f>
        <v>1382707.2095067184</v>
      </c>
      <c r="I51" s="12">
        <f>I49-I50</f>
        <v>1431160.5442898441</v>
      </c>
      <c r="J51" s="12">
        <f t="shared" si="19"/>
        <v>0</v>
      </c>
      <c r="K51" s="12">
        <f t="shared" si="19"/>
        <v>0</v>
      </c>
      <c r="L51" s="12">
        <f t="shared" si="19"/>
        <v>0</v>
      </c>
      <c r="M51" s="12">
        <f t="shared" si="19"/>
        <v>0</v>
      </c>
      <c r="N51" s="12">
        <f t="shared" si="19"/>
        <v>0</v>
      </c>
      <c r="O51" s="242">
        <f t="shared" si="19"/>
        <v>0</v>
      </c>
      <c r="P51" s="1034"/>
      <c r="Q51" s="1051"/>
      <c r="R51" s="31"/>
      <c r="S51" s="305"/>
      <c r="T51" s="31"/>
      <c r="U51" s="31"/>
      <c r="V51" s="31"/>
      <c r="W51" s="31"/>
      <c r="X51" s="31"/>
      <c r="Y51" s="31"/>
    </row>
    <row r="52" spans="2:25" ht="15.95" customHeight="1">
      <c r="B52" s="1131" t="s">
        <v>338</v>
      </c>
      <c r="C52" s="1034"/>
      <c r="D52" s="1034"/>
      <c r="E52" s="1199"/>
      <c r="F52" s="1042">
        <f>IFERROR(F49/F48,0)</f>
        <v>0.08</v>
      </c>
      <c r="G52" s="1042">
        <f>IFERROR((G49-F51)/G48,0)</f>
        <v>0.08</v>
      </c>
      <c r="H52" s="1042">
        <f t="shared" ref="H52:N52" si="20">IFERROR((H49-G51)/H48,0)</f>
        <v>0.08</v>
      </c>
      <c r="I52" s="1042">
        <f t="shared" si="20"/>
        <v>0.08</v>
      </c>
      <c r="J52" s="1042">
        <f t="shared" si="20"/>
        <v>0.08</v>
      </c>
      <c r="K52" s="1042">
        <f t="shared" si="20"/>
        <v>0</v>
      </c>
      <c r="L52" s="1042">
        <f t="shared" si="20"/>
        <v>0</v>
      </c>
      <c r="M52" s="1042">
        <f t="shared" si="20"/>
        <v>0</v>
      </c>
      <c r="N52" s="1042">
        <f t="shared" si="20"/>
        <v>0</v>
      </c>
      <c r="O52" s="1138">
        <f>IFERROR((O49-N51)/O48,0)</f>
        <v>0</v>
      </c>
      <c r="Q52" s="1050"/>
      <c r="R52" s="31"/>
      <c r="S52" s="305"/>
      <c r="T52" s="31"/>
      <c r="U52" s="31"/>
      <c r="V52" s="31"/>
      <c r="W52" s="31"/>
      <c r="X52" s="31"/>
      <c r="Y52" s="31"/>
    </row>
    <row r="53" spans="2:25">
      <c r="B53" s="161"/>
      <c r="E53" s="12"/>
      <c r="F53" s="12"/>
      <c r="G53" s="12"/>
      <c r="H53" s="12"/>
      <c r="I53" s="12"/>
      <c r="J53" s="12"/>
      <c r="K53" s="12"/>
      <c r="L53" s="12"/>
      <c r="M53" s="12"/>
      <c r="N53" s="12"/>
      <c r="O53" s="242"/>
      <c r="Q53" s="1050"/>
      <c r="R53" s="12"/>
      <c r="S53" s="377"/>
      <c r="T53" s="12"/>
      <c r="U53" s="12"/>
      <c r="V53" s="12"/>
      <c r="W53" s="12"/>
    </row>
    <row r="54" spans="2:25" hidden="1">
      <c r="B54" s="724" t="s">
        <v>353</v>
      </c>
      <c r="E54" s="12"/>
      <c r="F54" s="12"/>
      <c r="G54" s="12"/>
      <c r="H54" s="12"/>
      <c r="I54" s="12"/>
      <c r="J54" s="12"/>
      <c r="K54" s="12"/>
      <c r="L54" s="12"/>
      <c r="M54" s="12"/>
      <c r="N54" s="12"/>
      <c r="O54" s="242"/>
      <c r="Q54" s="1050"/>
      <c r="R54" s="12"/>
      <c r="S54" s="377"/>
      <c r="T54" s="12"/>
      <c r="U54" s="12"/>
      <c r="V54" s="12"/>
      <c r="W54" s="12"/>
    </row>
    <row r="55" spans="2:25" hidden="1">
      <c r="B55" s="1137" t="s">
        <v>354</v>
      </c>
      <c r="E55" s="12"/>
      <c r="F55" s="12">
        <f>MAX(F23-F50-F39,0)</f>
        <v>778260.7006983161</v>
      </c>
      <c r="G55" s="12">
        <f>IF($I$7="No",0,MAX(G23-G50-G39,0))</f>
        <v>1289219.882885854</v>
      </c>
      <c r="H55" s="12">
        <f>IF($I$7="No",0,MAX(H23-H50-H39,0))</f>
        <v>3528585.9181706235</v>
      </c>
      <c r="I55" s="12">
        <f t="shared" ref="I55:O55" si="21">IF($I$7="NO",0,MAX(I23-I50-I39,0))</f>
        <v>0</v>
      </c>
      <c r="J55" s="12">
        <f t="shared" si="21"/>
        <v>29630266.546988104</v>
      </c>
      <c r="K55" s="12">
        <f t="shared" si="21"/>
        <v>0</v>
      </c>
      <c r="L55" s="12">
        <f t="shared" si="21"/>
        <v>0</v>
      </c>
      <c r="M55" s="12">
        <f t="shared" si="21"/>
        <v>0</v>
      </c>
      <c r="N55" s="12">
        <f t="shared" si="21"/>
        <v>0</v>
      </c>
      <c r="O55" s="242">
        <f t="shared" si="21"/>
        <v>0</v>
      </c>
      <c r="Q55" s="1050"/>
      <c r="R55" s="12"/>
      <c r="S55" s="377"/>
      <c r="T55" s="12"/>
      <c r="U55" s="12"/>
      <c r="V55" s="12"/>
      <c r="W55" s="12"/>
    </row>
    <row r="56" spans="2:25" hidden="1">
      <c r="B56" s="728" t="s">
        <v>330</v>
      </c>
      <c r="F56" s="12">
        <f>F50/(1-$J$8)*$J$8</f>
        <v>0</v>
      </c>
      <c r="G56" s="12">
        <f t="shared" ref="G56:O56" si="22">G50/(1-$J$7)*$J$7</f>
        <v>0</v>
      </c>
      <c r="H56" s="12">
        <f t="shared" si="22"/>
        <v>0</v>
      </c>
      <c r="I56" s="12">
        <f t="shared" si="22"/>
        <v>0</v>
      </c>
      <c r="J56" s="12">
        <f t="shared" si="22"/>
        <v>0</v>
      </c>
      <c r="K56" s="12">
        <f t="shared" si="22"/>
        <v>0</v>
      </c>
      <c r="L56" s="12">
        <f t="shared" si="22"/>
        <v>0</v>
      </c>
      <c r="M56" s="12">
        <f t="shared" si="22"/>
        <v>0</v>
      </c>
      <c r="N56" s="12">
        <f t="shared" si="22"/>
        <v>0</v>
      </c>
      <c r="O56" s="242">
        <f t="shared" si="22"/>
        <v>0</v>
      </c>
      <c r="S56" s="305"/>
    </row>
    <row r="57" spans="2:25" hidden="1">
      <c r="B57" s="728" t="s">
        <v>355</v>
      </c>
      <c r="F57" s="12">
        <f>F56</f>
        <v>0</v>
      </c>
      <c r="G57" s="12">
        <f>G56+F59</f>
        <v>0</v>
      </c>
      <c r="H57" s="12">
        <f>H56+G59</f>
        <v>0</v>
      </c>
      <c r="I57" s="12">
        <f>I56+H59</f>
        <v>0</v>
      </c>
      <c r="J57" s="12">
        <f>J56+I59</f>
        <v>0</v>
      </c>
      <c r="K57" s="12">
        <f t="shared" ref="K57:N57" si="23">K56+J59</f>
        <v>0</v>
      </c>
      <c r="L57" s="12">
        <f t="shared" si="23"/>
        <v>0</v>
      </c>
      <c r="M57" s="12">
        <f t="shared" si="23"/>
        <v>0</v>
      </c>
      <c r="N57" s="12">
        <f t="shared" si="23"/>
        <v>0</v>
      </c>
      <c r="O57" s="242">
        <f>O56+N59</f>
        <v>0</v>
      </c>
      <c r="S57" s="305"/>
    </row>
    <row r="58" spans="2:25" hidden="1">
      <c r="B58" s="1139" t="s">
        <v>356</v>
      </c>
      <c r="C58" s="374"/>
      <c r="D58" s="374"/>
      <c r="E58" s="374"/>
      <c r="F58" s="375">
        <f>MIN(F57,F55)</f>
        <v>0</v>
      </c>
      <c r="G58" s="375">
        <f>MIN(G57,G55)</f>
        <v>0</v>
      </c>
      <c r="H58" s="375">
        <f>MIN(H57,H55)</f>
        <v>0</v>
      </c>
      <c r="I58" s="375">
        <f t="shared" ref="I58" si="24">MIN(I57,I55)</f>
        <v>0</v>
      </c>
      <c r="J58" s="375">
        <f>MIN(J57,J55)</f>
        <v>0</v>
      </c>
      <c r="K58" s="375">
        <f t="shared" ref="K58:O58" si="25">MIN(K57,K55)</f>
        <v>0</v>
      </c>
      <c r="L58" s="375">
        <f t="shared" si="25"/>
        <v>0</v>
      </c>
      <c r="M58" s="375">
        <f t="shared" si="25"/>
        <v>0</v>
      </c>
      <c r="N58" s="375">
        <f t="shared" si="25"/>
        <v>0</v>
      </c>
      <c r="O58" s="1140">
        <f t="shared" si="25"/>
        <v>0</v>
      </c>
      <c r="P58" s="1052">
        <f>SUM(F58:O58)-(SUM(F50:O50)/(1-J7)*J7)</f>
        <v>0</v>
      </c>
      <c r="Q58" s="1034" t="s">
        <v>338</v>
      </c>
      <c r="S58" s="305"/>
    </row>
    <row r="59" spans="2:25" hidden="1">
      <c r="B59" s="728" t="s">
        <v>357</v>
      </c>
      <c r="F59" s="12">
        <f>F57-F58</f>
        <v>0</v>
      </c>
      <c r="G59" s="12">
        <f t="shared" ref="G59:O59" si="26">G57-G58</f>
        <v>0</v>
      </c>
      <c r="H59" s="12">
        <f>H57-H58</f>
        <v>0</v>
      </c>
      <c r="I59" s="12">
        <f t="shared" si="26"/>
        <v>0</v>
      </c>
      <c r="J59" s="12">
        <f t="shared" si="26"/>
        <v>0</v>
      </c>
      <c r="K59" s="12">
        <f t="shared" si="26"/>
        <v>0</v>
      </c>
      <c r="L59" s="12">
        <f t="shared" si="26"/>
        <v>0</v>
      </c>
      <c r="M59" s="12">
        <f t="shared" si="26"/>
        <v>0</v>
      </c>
      <c r="N59" s="12">
        <f t="shared" si="26"/>
        <v>0</v>
      </c>
      <c r="O59" s="242">
        <f t="shared" si="26"/>
        <v>0</v>
      </c>
      <c r="S59" s="305"/>
    </row>
    <row r="60" spans="2:25">
      <c r="B60" s="728"/>
      <c r="F60" s="12"/>
      <c r="G60" s="12"/>
      <c r="H60" s="12"/>
      <c r="I60" s="12"/>
      <c r="J60" s="12"/>
      <c r="K60" s="12"/>
      <c r="L60" s="12"/>
      <c r="M60" s="12"/>
      <c r="N60" s="12"/>
      <c r="O60" s="242"/>
      <c r="S60" s="305"/>
    </row>
    <row r="61" spans="2:25">
      <c r="B61" s="1137" t="s">
        <v>348</v>
      </c>
      <c r="E61" s="12"/>
      <c r="F61" s="12">
        <f>F46-F50</f>
        <v>0</v>
      </c>
      <c r="G61" s="12">
        <f>G46-G50</f>
        <v>0</v>
      </c>
      <c r="H61" s="12">
        <f>H46-H50</f>
        <v>0</v>
      </c>
      <c r="I61" s="12">
        <f>I46-I50</f>
        <v>0</v>
      </c>
      <c r="J61" s="12">
        <f>J46-J50</f>
        <v>29630266.546988104</v>
      </c>
      <c r="K61" s="12">
        <f>K46--K50</f>
        <v>0</v>
      </c>
      <c r="L61" s="12">
        <f>L46--L50</f>
        <v>0</v>
      </c>
      <c r="M61" s="12">
        <f>M46--M50</f>
        <v>0</v>
      </c>
      <c r="N61" s="12">
        <f>N46--N50</f>
        <v>0</v>
      </c>
      <c r="O61" s="242">
        <f>O46--O50</f>
        <v>0</v>
      </c>
      <c r="Q61" s="1050"/>
      <c r="R61" s="12"/>
      <c r="S61" s="377"/>
      <c r="T61" s="12"/>
      <c r="U61" s="12"/>
      <c r="V61" s="12"/>
      <c r="W61" s="12"/>
    </row>
    <row r="62" spans="2:25" ht="15.95" customHeight="1">
      <c r="B62" s="1141" t="s">
        <v>358</v>
      </c>
      <c r="C62" s="378"/>
      <c r="D62" s="378"/>
      <c r="E62" s="376"/>
      <c r="F62" s="376">
        <f>MAX(IF(F61&gt;0,IF(SUM($F$61:F61)&gt;$E$48,$E$48-SUM(E$61:$F61),F61),0),0)</f>
        <v>0</v>
      </c>
      <c r="G62" s="376">
        <f>MAX(IF(G61&gt;0,IF(SUM($F$61:G61)&gt;$E$48,$E$48-SUM($F$61:F61),G61),0),0)</f>
        <v>0</v>
      </c>
      <c r="H62" s="376">
        <f>MAX(IF(H61&gt;0,IF(SUM($F$61:H61)&gt;$E$48,$E$48-SUM($F$61:G61),H61),0),0)</f>
        <v>0</v>
      </c>
      <c r="I62" s="376">
        <f>MAX(IF(I61&gt;0,IF(SUM($F$61:I61)&gt;$E$48,$E$48-SUM($F$61:H61),I61),0),0)</f>
        <v>0</v>
      </c>
      <c r="J62" s="376">
        <f>MAX(IF(J61&gt;0,IF(SUM($F$61:J61)&gt;$E$48,$E$48-SUM($F$61:I61),J61),0),0)</f>
        <v>15820218.099999998</v>
      </c>
      <c r="K62" s="376">
        <f>MAX(IF(K61&gt;0,IF(SUM($F$61:K61)&gt;$E$48,$E$48-SUM($F$61:J61),K61),0),0)</f>
        <v>0</v>
      </c>
      <c r="L62" s="376">
        <f>MAX(IF(L61&gt;0,IF(SUM($F$61:L61)&gt;$E$48,$E$48-SUM($F$61:K61),L61),0),0)</f>
        <v>0</v>
      </c>
      <c r="M62" s="376">
        <f>MAX(IF(M61&gt;0,IF(SUM($F$61:M61)&gt;$E$48,$E$48-SUM($F$61:L61),M61),0),0)</f>
        <v>0</v>
      </c>
      <c r="N62" s="376">
        <f>MAX(IF(N61&gt;0,IF(SUM($F$61:N61)&gt;$E$48,$E$48-SUM($F$61:M61),N61),0),0)</f>
        <v>0</v>
      </c>
      <c r="O62" s="1142">
        <f>MAX(IF(O61&gt;0,IF(SUM($F$61:O61)&gt;$E$48,$E$48-SUM($F$61:N61),O61),0),0)</f>
        <v>0</v>
      </c>
      <c r="P62" s="1053">
        <f>SUM(F62:O62)-E48</f>
        <v>0</v>
      </c>
      <c r="Q62" s="1037" t="s">
        <v>338</v>
      </c>
      <c r="R62" s="12"/>
      <c r="S62" s="377"/>
      <c r="T62" s="12"/>
      <c r="U62" s="12"/>
      <c r="V62" s="12"/>
      <c r="W62" s="12"/>
    </row>
    <row r="63" spans="2:25" ht="15" customHeight="1">
      <c r="B63" s="728"/>
      <c r="E63" s="12"/>
      <c r="F63" s="12"/>
      <c r="G63" s="12"/>
      <c r="H63" s="12"/>
      <c r="I63" s="12"/>
      <c r="J63" s="12"/>
      <c r="K63" s="12"/>
      <c r="L63" s="12"/>
      <c r="M63" s="12"/>
      <c r="N63" s="12"/>
      <c r="O63" s="1143"/>
      <c r="P63" s="1037"/>
      <c r="Q63" s="1037"/>
      <c r="R63" s="12"/>
      <c r="S63" s="377"/>
      <c r="T63" s="12"/>
      <c r="U63" s="12"/>
      <c r="V63" s="12"/>
      <c r="W63" s="12"/>
    </row>
    <row r="64" spans="2:25">
      <c r="B64" s="724" t="s">
        <v>359</v>
      </c>
      <c r="E64" s="12"/>
      <c r="F64" s="12"/>
      <c r="G64" s="12"/>
      <c r="H64" s="12"/>
      <c r="I64" s="12"/>
      <c r="J64" s="12"/>
      <c r="K64" s="12"/>
      <c r="L64" s="12"/>
      <c r="M64" s="12"/>
      <c r="N64" s="12"/>
      <c r="O64" s="242"/>
      <c r="Q64" s="1050"/>
      <c r="R64" s="12"/>
      <c r="S64" s="377"/>
      <c r="T64" s="12"/>
      <c r="U64" s="12"/>
      <c r="V64" s="12"/>
      <c r="W64" s="12"/>
    </row>
    <row r="65" spans="2:25">
      <c r="B65" s="729" t="s">
        <v>347</v>
      </c>
      <c r="F65" s="285"/>
      <c r="G65" s="285"/>
      <c r="H65" s="285"/>
      <c r="I65" s="285"/>
      <c r="J65" s="285"/>
      <c r="K65" s="285"/>
      <c r="L65" s="285"/>
      <c r="M65" s="285"/>
      <c r="N65" s="285"/>
      <c r="O65" s="1144"/>
      <c r="S65" s="305"/>
    </row>
    <row r="66" spans="2:25">
      <c r="B66" s="1137" t="s">
        <v>348</v>
      </c>
      <c r="F66" s="12">
        <f>F61-F62</f>
        <v>0</v>
      </c>
      <c r="G66" s="12">
        <f t="shared" ref="G66:O66" si="27">G61-G62</f>
        <v>0</v>
      </c>
      <c r="H66" s="12">
        <f t="shared" si="27"/>
        <v>0</v>
      </c>
      <c r="I66" s="12">
        <f t="shared" si="27"/>
        <v>0</v>
      </c>
      <c r="J66" s="12">
        <f t="shared" si="27"/>
        <v>13810048.446988106</v>
      </c>
      <c r="K66" s="12">
        <f t="shared" si="27"/>
        <v>0</v>
      </c>
      <c r="L66" s="12">
        <f t="shared" si="27"/>
        <v>0</v>
      </c>
      <c r="M66" s="12">
        <f t="shared" si="27"/>
        <v>0</v>
      </c>
      <c r="N66" s="12">
        <f t="shared" si="27"/>
        <v>0</v>
      </c>
      <c r="O66" s="242">
        <f t="shared" si="27"/>
        <v>0</v>
      </c>
      <c r="S66" s="305"/>
    </row>
    <row r="67" spans="2:25">
      <c r="B67" s="728" t="s">
        <v>339</v>
      </c>
      <c r="E67" s="12">
        <f>E48</f>
        <v>15820218.099999998</v>
      </c>
      <c r="F67" s="12">
        <f>F48</f>
        <v>15820218.099999998</v>
      </c>
      <c r="G67" s="12">
        <f t="shared" ref="G67:O67" si="28">G48</f>
        <v>15820218.099999998</v>
      </c>
      <c r="H67" s="12">
        <f t="shared" si="28"/>
        <v>15820218.099999998</v>
      </c>
      <c r="I67" s="12">
        <f t="shared" si="28"/>
        <v>15820218.099999998</v>
      </c>
      <c r="J67" s="12">
        <f t="shared" si="28"/>
        <v>15820218.099999998</v>
      </c>
      <c r="K67" s="12">
        <f t="shared" si="28"/>
        <v>0</v>
      </c>
      <c r="L67" s="12">
        <f t="shared" si="28"/>
        <v>0</v>
      </c>
      <c r="M67" s="12">
        <f t="shared" si="28"/>
        <v>0</v>
      </c>
      <c r="N67" s="12">
        <f t="shared" si="28"/>
        <v>0</v>
      </c>
      <c r="O67" s="242">
        <f t="shared" si="28"/>
        <v>0</v>
      </c>
      <c r="R67" s="11"/>
      <c r="S67" s="377"/>
      <c r="T67" s="12"/>
      <c r="U67" s="12"/>
      <c r="V67" s="12"/>
      <c r="W67" s="12"/>
    </row>
    <row r="68" spans="2:25" ht="18.600000000000001" customHeight="1">
      <c r="B68" s="728" t="s">
        <v>350</v>
      </c>
      <c r="E68" s="12"/>
      <c r="F68" s="12">
        <f>F67*H8</f>
        <v>2847639.2579999994</v>
      </c>
      <c r="G68" s="12">
        <f>F71+G67*$H$8</f>
        <v>5695278.5159999989</v>
      </c>
      <c r="H68" s="12">
        <f>G71+H67*$H$8</f>
        <v>8444759.484110605</v>
      </c>
      <c r="I68" s="12">
        <f>H71+I67*$H$8</f>
        <v>8976411.8975067157</v>
      </c>
      <c r="J68" s="12">
        <f t="shared" ref="J68:N68" si="29">I71+J67*$H$8</f>
        <v>10606887.042289842</v>
      </c>
      <c r="K68" s="12">
        <f t="shared" si="29"/>
        <v>0</v>
      </c>
      <c r="L68" s="12">
        <f t="shared" si="29"/>
        <v>0</v>
      </c>
      <c r="M68" s="12">
        <f t="shared" si="29"/>
        <v>0</v>
      </c>
      <c r="N68" s="12">
        <f t="shared" si="29"/>
        <v>0</v>
      </c>
      <c r="O68" s="242">
        <f>N71+O67*$H$8</f>
        <v>0</v>
      </c>
      <c r="R68" s="11"/>
      <c r="S68" s="305"/>
      <c r="T68" s="12"/>
      <c r="U68" s="12"/>
      <c r="V68" s="12"/>
      <c r="W68" s="12"/>
    </row>
    <row r="69" spans="2:25">
      <c r="B69" s="728" t="s">
        <v>360</v>
      </c>
      <c r="E69" s="12"/>
      <c r="F69" s="12">
        <f t="shared" ref="F69:O69" si="30">F50</f>
        <v>0</v>
      </c>
      <c r="G69" s="12">
        <f t="shared" si="30"/>
        <v>98158.28988939221</v>
      </c>
      <c r="H69" s="12">
        <f t="shared" si="30"/>
        <v>2315986.8446038887</v>
      </c>
      <c r="I69" s="12">
        <f t="shared" si="30"/>
        <v>1217164.1132168742</v>
      </c>
      <c r="J69" s="12">
        <f t="shared" si="30"/>
        <v>2696777.992289844</v>
      </c>
      <c r="K69" s="12">
        <f t="shared" si="30"/>
        <v>0</v>
      </c>
      <c r="L69" s="12">
        <f t="shared" si="30"/>
        <v>0</v>
      </c>
      <c r="M69" s="12">
        <f t="shared" si="30"/>
        <v>0</v>
      </c>
      <c r="N69" s="12">
        <f t="shared" si="30"/>
        <v>0</v>
      </c>
      <c r="O69" s="242">
        <f t="shared" si="30"/>
        <v>0</v>
      </c>
      <c r="R69" s="11"/>
      <c r="S69" s="377"/>
      <c r="T69" s="12"/>
      <c r="U69" s="12"/>
      <c r="V69" s="12"/>
      <c r="W69" s="12"/>
    </row>
    <row r="70" spans="2:25">
      <c r="B70" s="1127" t="s">
        <v>361</v>
      </c>
      <c r="C70" s="371"/>
      <c r="D70" s="371"/>
      <c r="E70" s="373"/>
      <c r="F70" s="373">
        <f>MIN(F68-F69,F66*(1-$J$8))</f>
        <v>0</v>
      </c>
      <c r="G70" s="373">
        <f>MIN(G68-G69,G66*(1-$J$8))</f>
        <v>0</v>
      </c>
      <c r="H70" s="373">
        <f t="shared" ref="H70:O70" si="31">MIN(H68-H69,H66*(1-$J$8))</f>
        <v>0</v>
      </c>
      <c r="I70" s="373">
        <f t="shared" si="31"/>
        <v>0</v>
      </c>
      <c r="J70" s="373">
        <f>MIN(J68-J69,J66*(1-$J$8))</f>
        <v>7910109.049999998</v>
      </c>
      <c r="K70" s="373">
        <f t="shared" si="31"/>
        <v>0</v>
      </c>
      <c r="L70" s="373">
        <f t="shared" si="31"/>
        <v>0</v>
      </c>
      <c r="M70" s="373">
        <f t="shared" si="31"/>
        <v>0</v>
      </c>
      <c r="N70" s="373">
        <f t="shared" si="31"/>
        <v>0</v>
      </c>
      <c r="O70" s="1128">
        <f t="shared" si="31"/>
        <v>0</v>
      </c>
      <c r="P70" s="1054"/>
      <c r="Q70" s="1034"/>
      <c r="R70" s="12"/>
      <c r="S70" s="377"/>
      <c r="T70" s="237"/>
      <c r="U70" s="12"/>
      <c r="V70" s="12"/>
      <c r="W70" s="12"/>
    </row>
    <row r="71" spans="2:25">
      <c r="B71" s="728" t="s">
        <v>352</v>
      </c>
      <c r="D71" s="1194"/>
      <c r="E71" s="12"/>
      <c r="F71" s="12">
        <f t="shared" ref="F71:K71" si="32">F68-F69-F70</f>
        <v>2847639.2579999994</v>
      </c>
      <c r="G71" s="12">
        <f>G68-G69-G70</f>
        <v>5597120.2261106065</v>
      </c>
      <c r="H71" s="12">
        <f t="shared" si="32"/>
        <v>6128772.6395067163</v>
      </c>
      <c r="I71" s="12">
        <f t="shared" si="32"/>
        <v>7759247.7842898415</v>
      </c>
      <c r="J71" s="12">
        <f>J68-J69-J70</f>
        <v>0</v>
      </c>
      <c r="K71" s="12">
        <f t="shared" si="32"/>
        <v>0</v>
      </c>
      <c r="L71" s="12">
        <f t="shared" ref="L71:O71" si="33">L68-L69-L70</f>
        <v>0</v>
      </c>
      <c r="M71" s="12">
        <f t="shared" si="33"/>
        <v>0</v>
      </c>
      <c r="N71" s="12">
        <f t="shared" si="33"/>
        <v>0</v>
      </c>
      <c r="O71" s="242">
        <f t="shared" si="33"/>
        <v>0</v>
      </c>
      <c r="R71" s="11"/>
      <c r="S71" s="377"/>
      <c r="T71" s="12"/>
      <c r="U71" s="12"/>
      <c r="V71" s="12"/>
      <c r="W71" s="12"/>
    </row>
    <row r="72" spans="2:25" ht="15.95" customHeight="1">
      <c r="B72" s="1131" t="s">
        <v>338</v>
      </c>
      <c r="C72" s="1034"/>
      <c r="D72" s="1034"/>
      <c r="E72" s="1199"/>
      <c r="F72" s="1042">
        <f>F68/F67</f>
        <v>0.18</v>
      </c>
      <c r="G72" s="1042">
        <f>IFERROR((G68-F71)/G67,0)</f>
        <v>0.18</v>
      </c>
      <c r="H72" s="1042">
        <f t="shared" ref="H72:N72" si="34">IFERROR((H68-G71)/H67,0)</f>
        <v>0.17999999999999994</v>
      </c>
      <c r="I72" s="1042">
        <f t="shared" si="34"/>
        <v>0.18</v>
      </c>
      <c r="J72" s="1042">
        <f>IFERROR((J68-I71)/J67,0)</f>
        <v>0.18000000000000005</v>
      </c>
      <c r="K72" s="1042">
        <f t="shared" si="34"/>
        <v>0</v>
      </c>
      <c r="L72" s="1042">
        <f t="shared" si="34"/>
        <v>0</v>
      </c>
      <c r="M72" s="1042">
        <f t="shared" si="34"/>
        <v>0</v>
      </c>
      <c r="N72" s="1042">
        <f t="shared" si="34"/>
        <v>0</v>
      </c>
      <c r="O72" s="1138">
        <f>IFERROR((O68-N71)/O67,0)</f>
        <v>0</v>
      </c>
      <c r="Q72" s="1050"/>
      <c r="R72" s="31"/>
      <c r="S72" s="305"/>
      <c r="T72" s="31"/>
      <c r="U72" s="31"/>
      <c r="V72" s="31"/>
      <c r="W72" s="31"/>
      <c r="X72" s="31"/>
      <c r="Y72" s="31"/>
    </row>
    <row r="73" spans="2:25">
      <c r="B73" s="729" t="s">
        <v>362</v>
      </c>
      <c r="E73" s="12"/>
      <c r="G73" s="12"/>
      <c r="H73" s="12"/>
      <c r="I73" s="12"/>
      <c r="J73" s="12"/>
      <c r="K73" s="12"/>
      <c r="L73" s="12"/>
      <c r="M73" s="12"/>
      <c r="N73" s="12"/>
      <c r="O73" s="242"/>
      <c r="R73" s="11"/>
      <c r="S73" s="377"/>
      <c r="T73" s="12"/>
      <c r="U73" s="12"/>
      <c r="V73" s="12"/>
      <c r="W73" s="12"/>
    </row>
    <row r="74" spans="2:25" ht="15.95" customHeight="1">
      <c r="B74" s="1139" t="s">
        <v>363</v>
      </c>
      <c r="C74" s="374"/>
      <c r="D74" s="374"/>
      <c r="E74" s="374"/>
      <c r="F74" s="375">
        <f t="shared" ref="F74:O74" si="35">F70/(1-$J$8)*$J$8</f>
        <v>0</v>
      </c>
      <c r="G74" s="375">
        <f t="shared" si="35"/>
        <v>0</v>
      </c>
      <c r="H74" s="375">
        <f t="shared" si="35"/>
        <v>0</v>
      </c>
      <c r="I74" s="375">
        <f t="shared" si="35"/>
        <v>0</v>
      </c>
      <c r="J74" s="375">
        <f>J70/(1-$J$8)*$J$8</f>
        <v>1977527.2624999993</v>
      </c>
      <c r="K74" s="375">
        <f t="shared" si="35"/>
        <v>0</v>
      </c>
      <c r="L74" s="375">
        <f t="shared" si="35"/>
        <v>0</v>
      </c>
      <c r="M74" s="375">
        <f t="shared" si="35"/>
        <v>0</v>
      </c>
      <c r="N74" s="375">
        <f t="shared" si="35"/>
        <v>0</v>
      </c>
      <c r="O74" s="1140">
        <f t="shared" si="35"/>
        <v>0</v>
      </c>
      <c r="P74" s="1052">
        <f>SUM(F74:O74)-(SUM(F70:O70)/(1-J8)*J8)</f>
        <v>0</v>
      </c>
      <c r="Q74" s="1034" t="s">
        <v>338</v>
      </c>
      <c r="R74" s="12"/>
      <c r="S74" s="305"/>
      <c r="T74" s="237"/>
    </row>
    <row r="75" spans="2:25">
      <c r="B75" s="161"/>
      <c r="E75" s="12"/>
      <c r="F75" s="12"/>
      <c r="G75" s="12"/>
      <c r="H75" s="12"/>
      <c r="I75" s="12"/>
      <c r="J75" s="31"/>
      <c r="K75" s="12"/>
      <c r="L75" s="12"/>
      <c r="M75" s="12"/>
      <c r="N75" s="12"/>
      <c r="O75" s="242"/>
      <c r="R75" s="11"/>
      <c r="S75" s="377"/>
      <c r="T75" s="12"/>
      <c r="U75" s="12"/>
      <c r="V75" s="12"/>
      <c r="W75" s="12"/>
    </row>
    <row r="76" spans="2:25" ht="15.6" customHeight="1">
      <c r="B76" s="724" t="s">
        <v>332</v>
      </c>
      <c r="D76" s="12"/>
      <c r="E76" s="12"/>
      <c r="O76" s="725"/>
      <c r="Q76" s="1050"/>
      <c r="R76" s="12"/>
      <c r="S76" s="377"/>
      <c r="T76" s="12"/>
      <c r="U76" s="12"/>
      <c r="V76" s="12"/>
      <c r="W76" s="12"/>
    </row>
    <row r="77" spans="2:25">
      <c r="B77" s="1137" t="s">
        <v>348</v>
      </c>
      <c r="C77" s="12"/>
      <c r="D77" s="12"/>
      <c r="E77" s="12"/>
      <c r="F77" s="12">
        <f>F66-F70-F74</f>
        <v>0</v>
      </c>
      <c r="G77" s="12">
        <f t="shared" ref="G77:O77" si="36">G66-G70-G74</f>
        <v>0</v>
      </c>
      <c r="H77" s="12">
        <f t="shared" si="36"/>
        <v>0</v>
      </c>
      <c r="I77" s="12">
        <f t="shared" si="36"/>
        <v>0</v>
      </c>
      <c r="J77" s="12">
        <f t="shared" si="36"/>
        <v>3922412.1344881086</v>
      </c>
      <c r="K77" s="12">
        <f t="shared" si="36"/>
        <v>0</v>
      </c>
      <c r="L77" s="12">
        <f t="shared" si="36"/>
        <v>0</v>
      </c>
      <c r="M77" s="12">
        <f t="shared" si="36"/>
        <v>0</v>
      </c>
      <c r="N77" s="12">
        <f t="shared" si="36"/>
        <v>0</v>
      </c>
      <c r="O77" s="242">
        <f t="shared" si="36"/>
        <v>0</v>
      </c>
      <c r="P77" s="1055"/>
      <c r="R77" s="11"/>
      <c r="S77" s="377"/>
      <c r="T77" s="12"/>
      <c r="U77" s="12"/>
      <c r="V77" s="12"/>
      <c r="W77" s="12"/>
    </row>
    <row r="78" spans="2:25" ht="15" customHeight="1">
      <c r="B78" s="1145" t="s">
        <v>362</v>
      </c>
      <c r="C78" s="375"/>
      <c r="D78" s="375"/>
      <c r="E78" s="375"/>
      <c r="F78" s="375">
        <f t="shared" ref="F78:O78" si="37">F77*$J$9</f>
        <v>0</v>
      </c>
      <c r="G78" s="375">
        <f t="shared" si="37"/>
        <v>0</v>
      </c>
      <c r="H78" s="375">
        <f t="shared" si="37"/>
        <v>0</v>
      </c>
      <c r="I78" s="375">
        <f t="shared" si="37"/>
        <v>0</v>
      </c>
      <c r="J78" s="375">
        <f t="shared" si="37"/>
        <v>1961206.0672440543</v>
      </c>
      <c r="K78" s="375">
        <f t="shared" si="37"/>
        <v>0</v>
      </c>
      <c r="L78" s="375">
        <f t="shared" si="37"/>
        <v>0</v>
      </c>
      <c r="M78" s="375">
        <f t="shared" si="37"/>
        <v>0</v>
      </c>
      <c r="N78" s="375">
        <f t="shared" si="37"/>
        <v>0</v>
      </c>
      <c r="O78" s="1140">
        <f t="shared" si="37"/>
        <v>0</v>
      </c>
      <c r="P78" s="1055"/>
      <c r="R78" s="12"/>
      <c r="S78" s="377"/>
      <c r="T78" s="237"/>
      <c r="U78" s="12"/>
      <c r="V78" s="12"/>
      <c r="W78" s="12"/>
    </row>
    <row r="79" spans="2:25">
      <c r="B79" s="1146" t="s">
        <v>347</v>
      </c>
      <c r="C79" s="376"/>
      <c r="D79" s="376"/>
      <c r="E79" s="376"/>
      <c r="F79" s="376">
        <f>F77*(1-$J$9)</f>
        <v>0</v>
      </c>
      <c r="G79" s="376">
        <f t="shared" ref="G79:O79" si="38">G77*(1-$J$9)</f>
        <v>0</v>
      </c>
      <c r="H79" s="376">
        <f t="shared" si="38"/>
        <v>0</v>
      </c>
      <c r="I79" s="376">
        <f t="shared" si="38"/>
        <v>0</v>
      </c>
      <c r="J79" s="376">
        <f>J77*(1-$J$9)</f>
        <v>1961206.0672440543</v>
      </c>
      <c r="K79" s="376">
        <f t="shared" si="38"/>
        <v>0</v>
      </c>
      <c r="L79" s="376">
        <f t="shared" si="38"/>
        <v>0</v>
      </c>
      <c r="M79" s="376">
        <f t="shared" si="38"/>
        <v>0</v>
      </c>
      <c r="N79" s="376">
        <f t="shared" si="38"/>
        <v>0</v>
      </c>
      <c r="O79" s="1142">
        <f t="shared" si="38"/>
        <v>0</v>
      </c>
      <c r="P79" s="1055"/>
      <c r="R79" s="12"/>
      <c r="S79" s="377"/>
      <c r="T79" s="237"/>
      <c r="U79" s="12"/>
      <c r="V79" s="12"/>
      <c r="W79" s="12"/>
    </row>
    <row r="80" spans="2:25">
      <c r="B80" s="1147" t="s">
        <v>338</v>
      </c>
      <c r="C80" s="1043"/>
      <c r="D80" s="1043"/>
      <c r="E80" s="1043"/>
      <c r="F80" s="1044">
        <f>F77-F78-F79</f>
        <v>0</v>
      </c>
      <c r="G80" s="1044">
        <f t="shared" ref="G80:O80" si="39">G77-G78-G79</f>
        <v>0</v>
      </c>
      <c r="H80" s="1044">
        <f t="shared" si="39"/>
        <v>0</v>
      </c>
      <c r="I80" s="1044">
        <f t="shared" si="39"/>
        <v>0</v>
      </c>
      <c r="J80" s="1044">
        <f t="shared" si="39"/>
        <v>0</v>
      </c>
      <c r="K80" s="1044">
        <f t="shared" si="39"/>
        <v>0</v>
      </c>
      <c r="L80" s="1044">
        <f t="shared" si="39"/>
        <v>0</v>
      </c>
      <c r="M80" s="1044">
        <f t="shared" si="39"/>
        <v>0</v>
      </c>
      <c r="N80" s="1044">
        <f t="shared" si="39"/>
        <v>0</v>
      </c>
      <c r="O80" s="1148">
        <f t="shared" si="39"/>
        <v>0</v>
      </c>
      <c r="P80" s="1055"/>
      <c r="R80" s="11"/>
      <c r="S80" s="11"/>
      <c r="T80" s="12"/>
      <c r="U80" s="12"/>
      <c r="V80" s="12"/>
      <c r="W80" s="12"/>
    </row>
    <row r="81" spans="2:23" ht="15.95" customHeight="1" thickBot="1">
      <c r="B81" s="1149"/>
      <c r="C81" s="1199"/>
      <c r="D81" s="1199"/>
      <c r="E81" s="1199"/>
      <c r="F81" s="1199">
        <f t="shared" ref="F81:O81" si="40">F23-F40-F50-F62-F70-F74-F79-F78</f>
        <v>0</v>
      </c>
      <c r="G81" s="1199">
        <f t="shared" si="40"/>
        <v>0</v>
      </c>
      <c r="H81" s="1199">
        <f t="shared" si="40"/>
        <v>0</v>
      </c>
      <c r="I81" s="1199">
        <f t="shared" si="40"/>
        <v>0</v>
      </c>
      <c r="J81" s="1199">
        <f t="shared" si="40"/>
        <v>0</v>
      </c>
      <c r="K81" s="1199">
        <f t="shared" si="40"/>
        <v>0</v>
      </c>
      <c r="L81" s="1199">
        <f t="shared" si="40"/>
        <v>0</v>
      </c>
      <c r="M81" s="1199">
        <f t="shared" si="40"/>
        <v>0</v>
      </c>
      <c r="N81" s="1199">
        <f t="shared" si="40"/>
        <v>0</v>
      </c>
      <c r="O81" s="1150">
        <f t="shared" si="40"/>
        <v>0</v>
      </c>
      <c r="P81" s="1055"/>
      <c r="R81" s="11"/>
      <c r="S81" s="11"/>
      <c r="T81" s="12"/>
      <c r="U81" s="12"/>
      <c r="V81" s="12"/>
      <c r="W81" s="12"/>
    </row>
    <row r="82" spans="2:23" ht="18.95" customHeight="1">
      <c r="B82" s="715" t="s">
        <v>364</v>
      </c>
      <c r="C82" s="716"/>
      <c r="D82" s="716"/>
      <c r="E82" s="716"/>
      <c r="F82" s="716"/>
      <c r="G82" s="716"/>
      <c r="H82" s="716"/>
      <c r="I82" s="716"/>
      <c r="J82" s="716"/>
      <c r="K82" s="716"/>
      <c r="L82" s="716"/>
      <c r="M82" s="716"/>
      <c r="N82" s="716"/>
      <c r="O82" s="717"/>
      <c r="R82" s="11"/>
      <c r="S82" s="11"/>
      <c r="T82" s="12"/>
      <c r="U82" s="12"/>
      <c r="V82" s="12"/>
      <c r="W82" s="12"/>
    </row>
    <row r="83" spans="2:23" ht="15.95" customHeight="1">
      <c r="B83" s="161"/>
      <c r="E83" s="9" t="s">
        <v>183</v>
      </c>
      <c r="F83" s="9" t="s">
        <v>188</v>
      </c>
      <c r="G83" s="9" t="s">
        <v>192</v>
      </c>
      <c r="H83" s="9" t="s">
        <v>197</v>
      </c>
      <c r="I83" s="9" t="s">
        <v>201</v>
      </c>
      <c r="J83" s="9" t="s">
        <v>205</v>
      </c>
      <c r="K83" s="9" t="s">
        <v>209</v>
      </c>
      <c r="L83" s="9" t="s">
        <v>211</v>
      </c>
      <c r="M83" s="9" t="s">
        <v>214</v>
      </c>
      <c r="N83" s="9" t="s">
        <v>217</v>
      </c>
      <c r="O83" s="199" t="s">
        <v>219</v>
      </c>
      <c r="R83" s="11"/>
      <c r="S83" s="11"/>
      <c r="T83" s="12"/>
      <c r="U83" s="12"/>
      <c r="V83" s="12"/>
      <c r="W83" s="12"/>
    </row>
    <row r="84" spans="2:23" ht="15.95" customHeight="1">
      <c r="B84" s="730" t="s">
        <v>191</v>
      </c>
      <c r="C84" s="379"/>
      <c r="D84" s="380">
        <f>IRR(E84:J84)</f>
        <v>0.15883758134287662</v>
      </c>
      <c r="E84" s="381">
        <f>E50</f>
        <v>-15820218.099999998</v>
      </c>
      <c r="F84" s="381">
        <f>F50+F70+F79+F62</f>
        <v>0</v>
      </c>
      <c r="G84" s="381">
        <f>G50+G70+G79+G62</f>
        <v>98158.28988939221</v>
      </c>
      <c r="H84" s="381">
        <f>H50+H70+H79+H62</f>
        <v>2315986.8446038887</v>
      </c>
      <c r="I84" s="381">
        <f t="shared" ref="I84:O84" si="41">I50+I70+I79+I62</f>
        <v>1217164.1132168742</v>
      </c>
      <c r="J84" s="381">
        <f t="shared" si="41"/>
        <v>28388311.209533893</v>
      </c>
      <c r="K84" s="381">
        <f t="shared" si="41"/>
        <v>0</v>
      </c>
      <c r="L84" s="381">
        <f t="shared" si="41"/>
        <v>0</v>
      </c>
      <c r="M84" s="381">
        <f t="shared" si="41"/>
        <v>0</v>
      </c>
      <c r="N84" s="381">
        <f t="shared" si="41"/>
        <v>0</v>
      </c>
      <c r="O84" s="731">
        <f t="shared" si="41"/>
        <v>0</v>
      </c>
      <c r="R84" s="11"/>
      <c r="S84" s="11"/>
      <c r="T84" s="12"/>
      <c r="U84" s="12"/>
      <c r="V84" s="12"/>
      <c r="W84" s="12"/>
    </row>
    <row r="85" spans="2:23" ht="15.95" customHeight="1">
      <c r="B85" s="161" t="s">
        <v>365</v>
      </c>
      <c r="C85" s="21"/>
      <c r="D85" s="1200"/>
      <c r="E85" s="12"/>
      <c r="F85" s="732">
        <f t="shared" ref="F85:O85" si="42">F50/-$E$84</f>
        <v>0</v>
      </c>
      <c r="G85" s="732">
        <f t="shared" si="42"/>
        <v>6.2046104085879969E-3</v>
      </c>
      <c r="H85" s="732">
        <f t="shared" si="42"/>
        <v>0.14639411605860789</v>
      </c>
      <c r="I85" s="732">
        <f t="shared" si="42"/>
        <v>7.6937252414799165E-2</v>
      </c>
      <c r="J85" s="732">
        <f t="shared" si="42"/>
        <v>0.17046402111800496</v>
      </c>
      <c r="K85" s="732">
        <f t="shared" si="42"/>
        <v>0</v>
      </c>
      <c r="L85" s="732">
        <f t="shared" si="42"/>
        <v>0</v>
      </c>
      <c r="M85" s="732">
        <f t="shared" si="42"/>
        <v>0</v>
      </c>
      <c r="N85" s="732">
        <f t="shared" si="42"/>
        <v>0</v>
      </c>
      <c r="O85" s="733">
        <f t="shared" si="42"/>
        <v>0</v>
      </c>
      <c r="R85" s="11"/>
      <c r="S85" s="11"/>
      <c r="T85" s="12"/>
      <c r="U85" s="12"/>
      <c r="V85" s="12"/>
      <c r="W85" s="12"/>
    </row>
    <row r="86" spans="2:23" ht="18.75">
      <c r="B86" s="161" t="s">
        <v>366</v>
      </c>
      <c r="C86" s="21"/>
      <c r="D86" s="1200"/>
      <c r="E86" s="12">
        <f>'Cash Flows &amp; Summary'!U34</f>
        <v>886800</v>
      </c>
      <c r="F86" s="12">
        <f>IF(1&lt;='Inputs &amp; Assumptions'!V68,'Pro Forma'!R39,0)</f>
        <v>77852.81226760002</v>
      </c>
      <c r="G86" s="12">
        <f>IF(2&lt;='Inputs &amp; Assumptions'!V68,'Pro Forma'!AE39,0)</f>
        <v>92533.706124667995</v>
      </c>
      <c r="H86" s="12">
        <f>IF(3&lt;='Inputs &amp; Assumptions'!V68,'Pro Forma'!AR39,0)</f>
        <v>108025.38608211925</v>
      </c>
      <c r="I86" s="12">
        <f>IF(4&lt;='Inputs &amp; Assumptions'!V68,'Pro Forma'!BE39,0)</f>
        <v>111266.14766458282</v>
      </c>
      <c r="J86" s="12">
        <f>IF(5&lt;='Inputs &amp; Assumptions'!V68,'Pro Forma'!BR39,0)</f>
        <v>114604.13209452033</v>
      </c>
      <c r="K86" s="12">
        <f>IF(6&lt;='Inputs &amp; Assumptions'!$V$68,'Pro Forma'!CF39,0)</f>
        <v>0</v>
      </c>
      <c r="L86" s="12">
        <f>IF(6&lt;='Inputs &amp; Assumptions'!$V$68,'Pro Forma'!CS39,0)</f>
        <v>0</v>
      </c>
      <c r="M86" s="12">
        <f>IF(6&lt;='Inputs &amp; Assumptions'!$V$68,'Pro Forma'!DF39,0)</f>
        <v>0</v>
      </c>
      <c r="N86" s="12">
        <f>IF(6&lt;='Inputs &amp; Assumptions'!$V$68,'Pro Forma'!DS39,0)</f>
        <v>0</v>
      </c>
      <c r="O86" s="242">
        <f>IF(6&lt;='Inputs &amp; Assumptions'!$V$68,'Pro Forma'!EF39,0)</f>
        <v>0</v>
      </c>
      <c r="R86" s="11"/>
      <c r="S86" s="11"/>
      <c r="T86" s="12"/>
      <c r="U86" s="12"/>
      <c r="V86" s="12"/>
      <c r="W86" s="12"/>
    </row>
    <row r="87" spans="2:23" ht="15" customHeight="1">
      <c r="B87" s="161" t="s">
        <v>367</v>
      </c>
      <c r="C87" s="21"/>
      <c r="D87" s="1200"/>
      <c r="E87" s="12"/>
      <c r="F87" s="12">
        <f t="shared" ref="F87:O87" si="43">F78+F58+F74</f>
        <v>0</v>
      </c>
      <c r="G87" s="12">
        <f t="shared" si="43"/>
        <v>0</v>
      </c>
      <c r="H87" s="12">
        <f t="shared" si="43"/>
        <v>0</v>
      </c>
      <c r="I87" s="12">
        <f t="shared" si="43"/>
        <v>0</v>
      </c>
      <c r="J87" s="12">
        <f t="shared" si="43"/>
        <v>3938733.3297440535</v>
      </c>
      <c r="K87" s="12">
        <f t="shared" si="43"/>
        <v>0</v>
      </c>
      <c r="L87" s="12">
        <f t="shared" si="43"/>
        <v>0</v>
      </c>
      <c r="M87" s="12">
        <f t="shared" si="43"/>
        <v>0</v>
      </c>
      <c r="N87" s="12">
        <f t="shared" si="43"/>
        <v>0</v>
      </c>
      <c r="O87" s="242">
        <f t="shared" si="43"/>
        <v>0</v>
      </c>
      <c r="P87" s="1037">
        <f>SUM(E87:O87)</f>
        <v>3938733.3297440535</v>
      </c>
      <c r="R87" s="11"/>
      <c r="S87" s="11"/>
      <c r="T87" s="12"/>
      <c r="U87" s="12"/>
      <c r="V87" s="12"/>
      <c r="W87" s="12"/>
    </row>
    <row r="88" spans="2:23" ht="19.5" thickBot="1">
      <c r="B88" s="185" t="s">
        <v>368</v>
      </c>
      <c r="C88" s="734"/>
      <c r="D88" s="735"/>
      <c r="E88" s="736">
        <f>E84+E86+E87</f>
        <v>-14933418.099999998</v>
      </c>
      <c r="F88" s="736">
        <f>F84+F86+F87</f>
        <v>77852.81226760002</v>
      </c>
      <c r="G88" s="736">
        <f>G84+G86+G87</f>
        <v>190691.99601406022</v>
      </c>
      <c r="H88" s="736">
        <f t="shared" ref="H88:O88" si="44">H84+H86+H87</f>
        <v>2424012.230686008</v>
      </c>
      <c r="I88" s="736">
        <f t="shared" si="44"/>
        <v>1328430.260881457</v>
      </c>
      <c r="J88" s="736">
        <f>J84+J86+J87</f>
        <v>32441648.671372466</v>
      </c>
      <c r="K88" s="736">
        <f t="shared" si="44"/>
        <v>0</v>
      </c>
      <c r="L88" s="736">
        <f t="shared" si="44"/>
        <v>0</v>
      </c>
      <c r="M88" s="736">
        <f t="shared" si="44"/>
        <v>0</v>
      </c>
      <c r="N88" s="736">
        <f t="shared" si="44"/>
        <v>0</v>
      </c>
      <c r="O88" s="737">
        <f t="shared" si="44"/>
        <v>0</v>
      </c>
    </row>
    <row r="90" spans="2:23">
      <c r="E90" s="409"/>
      <c r="F90" s="31"/>
    </row>
    <row r="91" spans="2:23">
      <c r="F91" s="305"/>
      <c r="G91" s="305"/>
      <c r="H91" s="305"/>
      <c r="I91" s="305"/>
      <c r="J91" s="305"/>
      <c r="K91" s="305"/>
      <c r="L91" s="305"/>
      <c r="M91" s="305"/>
      <c r="N91" s="305"/>
      <c r="O91" s="305"/>
    </row>
    <row r="92" spans="2:23">
      <c r="G92" s="285"/>
      <c r="H92" s="285"/>
      <c r="I92" s="285"/>
      <c r="J92" s="285"/>
      <c r="K92" s="285"/>
      <c r="L92" s="285"/>
      <c r="M92" s="285"/>
      <c r="N92" s="285"/>
      <c r="O92" s="285"/>
    </row>
    <row r="112" spans="2:2">
      <c r="B112" s="11"/>
    </row>
  </sheetData>
  <mergeCells count="4">
    <mergeCell ref="T43:U43"/>
    <mergeCell ref="V24:W24"/>
    <mergeCell ref="R42:W42"/>
    <mergeCell ref="R23:X23"/>
  </mergeCells>
  <dataValidations disablePrompts="1" count="1">
    <dataValidation type="list" allowBlank="1" showInputMessage="1" showErrorMessage="1" sqref="M5" xr:uid="{1924A380-0E0D-0F4E-B742-7B99A535897A}">
      <formula1>"IRR,Preferred Return"</formula1>
    </dataValidation>
  </dataValidations>
  <pageMargins left="0.7" right="0.7" top="0.75" bottom="0.75" header="0.3" footer="0.3"/>
  <pageSetup orientation="portrait" r:id="rId1"/>
  <cellWatches>
    <cellWatch r="B112"/>
  </cellWatches>
  <ignoredErrors>
    <ignoredError sqref="F68 J68:O68 G68:I68" formula="1"/>
    <ignoredError sqref="H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F8EA7-ABD3-2D4C-9FC5-AD93C04B7678}">
  <sheetPr codeName="Sheet5">
    <tabColor theme="3"/>
  </sheetPr>
  <dimension ref="A1:EF52"/>
  <sheetViews>
    <sheetView showGridLines="0" zoomScale="80" zoomScaleNormal="80" workbookViewId="0">
      <pane xSplit="1" ySplit="1" topLeftCell="B2" activePane="bottomRight" state="frozen"/>
      <selection pane="topRight" activeCell="B1" sqref="B1"/>
      <selection pane="bottomLeft" activeCell="A2" sqref="A2"/>
      <selection pane="bottomRight" activeCell="G7" sqref="G7"/>
    </sheetView>
  </sheetViews>
  <sheetFormatPr defaultColWidth="10.875" defaultRowHeight="15.75"/>
  <cols>
    <col min="1" max="1" width="2.5" customWidth="1"/>
    <col min="2" max="2" width="5" customWidth="1"/>
    <col min="3" max="3" width="10.875" customWidth="1"/>
    <col min="4" max="11" width="11.625" customWidth="1"/>
    <col min="12" max="12" width="3.25" customWidth="1"/>
    <col min="13" max="13" width="6.75" customWidth="1"/>
    <col min="14" max="14" width="9.5" bestFit="1" customWidth="1"/>
    <col min="15" max="15" width="11.625" customWidth="1"/>
    <col min="16" max="16" width="13.75" bestFit="1" customWidth="1"/>
    <col min="17" max="22" width="11.625" customWidth="1"/>
    <col min="23" max="23" width="2.625" customWidth="1"/>
    <col min="24" max="24" width="19.375" customWidth="1"/>
    <col min="25" max="27" width="10.875" customWidth="1"/>
    <col min="28" max="129" width="14.125" customWidth="1"/>
  </cols>
  <sheetData>
    <row r="1" spans="2:32" s="50" customFormat="1" ht="45" customHeight="1" thickBot="1">
      <c r="B1" s="158" t="str">
        <f>'Inputs &amp; Assumptions'!D4&amp;" – Stress &amp; Sensitivities"</f>
        <v>Madison Overland Park – Stress &amp; Sensitivities</v>
      </c>
      <c r="C1" s="32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0"/>
    </row>
    <row r="2" spans="2:32" ht="15.95" customHeight="1" thickBot="1">
      <c r="B2" s="33"/>
      <c r="C2" s="33"/>
    </row>
    <row r="3" spans="2:32" ht="18.95" customHeight="1">
      <c r="B3" s="317" t="s">
        <v>369</v>
      </c>
      <c r="C3" s="318"/>
      <c r="D3" s="318"/>
      <c r="E3" s="318"/>
      <c r="F3" s="318"/>
      <c r="G3" s="318"/>
      <c r="H3" s="318"/>
      <c r="I3" s="318"/>
      <c r="J3" s="319"/>
      <c r="R3" s="125"/>
      <c r="S3" s="125"/>
      <c r="T3" s="125"/>
      <c r="U3" s="125"/>
      <c r="V3" s="125"/>
    </row>
    <row r="4" spans="2:32" ht="15.95" customHeight="1">
      <c r="B4" s="1275" t="s">
        <v>370</v>
      </c>
      <c r="C4" s="1276"/>
      <c r="D4" s="1276"/>
      <c r="E4" s="1276" t="s">
        <v>364</v>
      </c>
      <c r="F4" s="1276"/>
      <c r="G4" s="1276"/>
      <c r="H4" s="1280" t="s">
        <v>371</v>
      </c>
      <c r="I4" s="1280"/>
      <c r="J4" s="1281"/>
      <c r="R4" s="9"/>
      <c r="S4" s="43"/>
      <c r="T4" s="70"/>
      <c r="U4" s="70"/>
      <c r="V4" s="70"/>
    </row>
    <row r="5" spans="2:32" ht="15.95" customHeight="1">
      <c r="B5" s="179" t="s">
        <v>172</v>
      </c>
      <c r="D5" s="12">
        <f>'Inputs &amp; Assumptions'!D6</f>
        <v>44340000</v>
      </c>
      <c r="E5" s="6" t="s">
        <v>191</v>
      </c>
      <c r="F5" s="11"/>
      <c r="G5" s="105">
        <f>'Cash Flows &amp; Summary'!AA10</f>
        <v>0.15883758134287662</v>
      </c>
      <c r="H5" t="s">
        <v>218</v>
      </c>
      <c r="J5" s="180">
        <f>'Inputs &amp; Assumptions'!S43</f>
        <v>0</v>
      </c>
      <c r="K5" s="11"/>
      <c r="T5" s="4"/>
      <c r="U5" s="200"/>
      <c r="V5" s="11"/>
    </row>
    <row r="6" spans="2:32" ht="15.95" customHeight="1">
      <c r="B6" s="179" t="s">
        <v>372</v>
      </c>
      <c r="D6" s="12" t="e">
        <f>'Cash Flows &amp; Summary'!#REF!+'Cash Flows &amp; Summary'!#REF!</f>
        <v>#REF!</v>
      </c>
      <c r="E6" s="6" t="s">
        <v>373</v>
      </c>
      <c r="F6" s="11"/>
      <c r="G6" s="105">
        <f>'Cash Flows &amp; Summary'!AA11</f>
        <v>0.04</v>
      </c>
      <c r="H6" t="s">
        <v>374</v>
      </c>
      <c r="J6" s="180">
        <f>'Inputs &amp; Assumptions'!V47</f>
        <v>0.03</v>
      </c>
      <c r="K6" s="37"/>
      <c r="T6" s="282"/>
      <c r="U6" s="283"/>
      <c r="V6" s="105"/>
    </row>
    <row r="7" spans="2:32" ht="15.95" customHeight="1">
      <c r="B7" s="179" t="s">
        <v>72</v>
      </c>
      <c r="D7" s="105">
        <f>'Cash Flows &amp; Summary'!R10</f>
        <v>0.45514885883340955</v>
      </c>
      <c r="E7" s="6" t="s">
        <v>200</v>
      </c>
      <c r="F7" s="11"/>
      <c r="G7" s="105" t="e">
        <f>'Cash Flows &amp; Summary'!#REF!</f>
        <v>#REF!</v>
      </c>
      <c r="H7" s="38" t="s">
        <v>375</v>
      </c>
      <c r="J7" s="195">
        <f>'Inputs &amp; Assumptions'!S35</f>
        <v>0</v>
      </c>
      <c r="T7" s="11"/>
      <c r="U7" s="11"/>
      <c r="V7" s="11"/>
    </row>
    <row r="8" spans="2:32" ht="15.95" customHeight="1" thickBot="1">
      <c r="B8" s="179" t="s">
        <v>376</v>
      </c>
      <c r="D8" s="105">
        <f>'Cash Flows &amp; Summary'!R11</f>
        <v>0.49284828155531646</v>
      </c>
      <c r="E8" s="6" t="s">
        <v>204</v>
      </c>
      <c r="F8" s="11"/>
      <c r="G8" s="197">
        <f>'Cash Flows &amp; Summary'!AA13</f>
        <v>2.0239683331068647</v>
      </c>
      <c r="J8" s="181"/>
      <c r="T8" s="282"/>
      <c r="U8" s="283"/>
      <c r="V8" s="106"/>
    </row>
    <row r="9" spans="2:32" ht="15.95" customHeight="1">
      <c r="B9" s="179" t="s">
        <v>377</v>
      </c>
      <c r="D9" s="36">
        <f>'Pro Forma'!E42</f>
        <v>0</v>
      </c>
      <c r="E9" s="6" t="s">
        <v>176</v>
      </c>
      <c r="F9" s="11"/>
      <c r="G9" s="105">
        <f>'Cash Flows &amp; Summary'!AA7</f>
        <v>0.11505148614082539</v>
      </c>
      <c r="H9" t="s">
        <v>223</v>
      </c>
      <c r="I9" s="27">
        <f>'Inputs &amp; Assumptions'!V65</f>
        <v>5.2499999999999998E-2</v>
      </c>
      <c r="J9" s="181">
        <f>'Inputs &amp; Assumptions'!S66</f>
        <v>0</v>
      </c>
      <c r="M9" s="286" t="s">
        <v>378</v>
      </c>
      <c r="N9" s="287"/>
      <c r="O9" s="287"/>
      <c r="P9" s="288"/>
      <c r="T9" s="282"/>
      <c r="U9" s="283"/>
      <c r="V9" s="284"/>
    </row>
    <row r="10" spans="2:32" ht="15.95" customHeight="1">
      <c r="B10" s="161" t="s">
        <v>379</v>
      </c>
      <c r="D10" s="36" t="e">
        <f>'Pro Forma'!F36/('Pro Forma'!F43+'Pro Forma'!#REF!)</f>
        <v>#REF!</v>
      </c>
      <c r="E10" s="6" t="s">
        <v>182</v>
      </c>
      <c r="F10" s="21"/>
      <c r="G10" s="105">
        <f>'Cash Flows &amp; Summary'!AA8</f>
        <v>0.18646569049311901</v>
      </c>
      <c r="H10" t="s">
        <v>173</v>
      </c>
      <c r="I10">
        <v>5</v>
      </c>
      <c r="J10" s="198">
        <f>'Inputs &amp; Assumptions'!S74</f>
        <v>0</v>
      </c>
      <c r="M10" s="161"/>
      <c r="O10" s="9" t="s">
        <v>380</v>
      </c>
      <c r="P10" s="199" t="s">
        <v>381</v>
      </c>
      <c r="S10" s="285"/>
    </row>
    <row r="11" spans="2:32" ht="15.95" customHeight="1">
      <c r="B11" s="161" t="s">
        <v>382</v>
      </c>
      <c r="D11" s="36">
        <f>'Pro Forma'!F42</f>
        <v>1.6508447130635986</v>
      </c>
      <c r="E11" s="13" t="s">
        <v>383</v>
      </c>
      <c r="F11" s="11"/>
      <c r="G11" s="105"/>
      <c r="H11" t="s">
        <v>384</v>
      </c>
      <c r="J11" s="180">
        <f>'Inputs &amp; Assumptions'!V20</f>
        <v>0.06</v>
      </c>
      <c r="M11" s="161" t="s">
        <v>385</v>
      </c>
      <c r="O11" s="105">
        <f>('Pro Forma'!F32+'Pro Forma'!F43*Sensitivities!E39)/('Pro Forma'!F16-'Pro Forma'!F13)</f>
        <v>0.6329700168907445</v>
      </c>
      <c r="P11" s="189">
        <f>('Pro Forma'!F32+'Pro Forma'!F43)/('Pro Forma'!F16-'Pro Forma'!F13)</f>
        <v>0.59211949950403531</v>
      </c>
      <c r="Q11" s="125"/>
      <c r="R11" s="125"/>
      <c r="S11" s="125"/>
      <c r="T11" s="125"/>
      <c r="U11" s="125"/>
      <c r="V11" s="125"/>
    </row>
    <row r="12" spans="2:32" ht="15.95" customHeight="1">
      <c r="B12" s="179" t="s">
        <v>386</v>
      </c>
      <c r="D12" s="36" t="str">
        <f>'Pro Forma'!R59</f>
        <v/>
      </c>
      <c r="E12" s="6" t="s">
        <v>387</v>
      </c>
      <c r="G12" s="108" t="e">
        <f>NPV('Cash Flows &amp; Summary'!AA8,'Cash Flows &amp; Summary'!AD8:AD13)/(NPV('Cash Flows &amp; Summary'!AA8,'Cash Flows &amp; Summary'!#REF!)+NPV('Cash Flows &amp; Summary'!AA8,'Cash Flows &amp; Summary'!AD8:AD13))</f>
        <v>#REF!</v>
      </c>
      <c r="H12" t="s">
        <v>225</v>
      </c>
      <c r="I12" s="301"/>
      <c r="J12" s="180" t="e">
        <f>'Inputs &amp; Assumptions'!#REF!</f>
        <v>#REF!</v>
      </c>
      <c r="M12" s="161" t="s">
        <v>188</v>
      </c>
      <c r="O12" s="105">
        <f>('Pro Forma'!R32+'Pro Forma'!R43*Sensitivities!E39)/('Pro Forma'!R16-'Pro Forma'!R13)</f>
        <v>0.6309712541606598</v>
      </c>
      <c r="P12" s="189">
        <f>('Pro Forma'!R32+'Pro Forma'!R43)/('Pro Forma'!R16-'Pro Forma'!R13)</f>
        <v>0.59045386389563137</v>
      </c>
      <c r="Q12" s="289"/>
      <c r="R12" s="289"/>
      <c r="S12" s="289"/>
      <c r="T12" s="289"/>
      <c r="U12" s="289"/>
      <c r="V12" s="289"/>
    </row>
    <row r="13" spans="2:32" ht="15.95" customHeight="1" thickBot="1">
      <c r="B13" s="182" t="s">
        <v>388</v>
      </c>
      <c r="C13" s="183"/>
      <c r="D13" s="196">
        <f>'Pro Forma'!R42</f>
        <v>1.6508447130635986</v>
      </c>
      <c r="E13" s="183" t="s">
        <v>389</v>
      </c>
      <c r="F13" s="183"/>
      <c r="G13" s="210" t="e">
        <f>NPV('Cash Flows &amp; Summary'!AA8,'Cash Flows &amp; Summary'!#REF!)/(NPV('Cash Flows &amp; Summary'!AA8,'Cash Flows &amp; Summary'!#REF!)+NPV('Cash Flows &amp; Summary'!AA8,'Cash Flows &amp; Summary'!AD8:AD13))</f>
        <v>#REF!</v>
      </c>
      <c r="H13" s="183"/>
      <c r="I13" s="183"/>
      <c r="J13" s="184"/>
      <c r="M13" s="185" t="s">
        <v>192</v>
      </c>
      <c r="N13" s="183"/>
      <c r="O13" s="190">
        <f>('Pro Forma'!AE32+'Pro Forma'!AE43*Sensitivities!E39)/('Pro Forma'!AE16-'Pro Forma'!AE13)</f>
        <v>0.58898587816728631</v>
      </c>
      <c r="P13" s="191">
        <f>('Pro Forma'!AE32+'Pro Forma'!AE43)/('Pro Forma'!AE16-'Pro Forma'!AE13)</f>
        <v>0.5530214127263432</v>
      </c>
      <c r="Q13" s="31"/>
      <c r="R13" s="31"/>
      <c r="S13" s="31"/>
      <c r="T13" s="31"/>
      <c r="U13" s="31"/>
      <c r="V13" s="31"/>
    </row>
    <row r="14" spans="2:32" ht="15.95" customHeight="1">
      <c r="B14" s="6"/>
      <c r="D14" s="36"/>
      <c r="Q14" s="31"/>
      <c r="R14" s="31"/>
      <c r="T14" s="31"/>
      <c r="U14" s="31"/>
      <c r="V14" s="31"/>
    </row>
    <row r="15" spans="2:32" ht="15.95" customHeight="1">
      <c r="B15" s="6"/>
      <c r="D15" s="36"/>
      <c r="Q15" s="31"/>
      <c r="R15" s="31"/>
      <c r="S15" s="31"/>
      <c r="T15" s="31"/>
      <c r="U15" s="31"/>
      <c r="V15" s="31"/>
    </row>
    <row r="16" spans="2:32" ht="15.95" customHeight="1">
      <c r="B16" s="6"/>
      <c r="D16" s="36"/>
      <c r="H16" s="4"/>
      <c r="O16" s="36"/>
      <c r="P16" s="36"/>
      <c r="Q16" s="290"/>
      <c r="R16" s="290"/>
      <c r="S16" s="290"/>
      <c r="T16" s="290"/>
      <c r="U16" s="290"/>
      <c r="V16" s="290"/>
    </row>
    <row r="17" spans="2:22" ht="15.95" customHeight="1" thickBot="1">
      <c r="D17" s="34"/>
      <c r="O17" s="38"/>
    </row>
    <row r="18" spans="2:22" ht="18.95" customHeight="1">
      <c r="B18" s="1277" t="s">
        <v>390</v>
      </c>
      <c r="C18" s="1278"/>
      <c r="D18" s="1278"/>
      <c r="E18" s="1278"/>
      <c r="F18" s="1278"/>
      <c r="G18" s="1278"/>
      <c r="H18" s="1278"/>
      <c r="I18" s="1278"/>
      <c r="J18" s="1278"/>
      <c r="K18" s="1279"/>
      <c r="M18" s="1277" t="s">
        <v>391</v>
      </c>
      <c r="N18" s="1278"/>
      <c r="O18" s="1278"/>
      <c r="P18" s="1278"/>
      <c r="Q18" s="1278"/>
      <c r="R18" s="1278"/>
      <c r="S18" s="1278"/>
      <c r="T18" s="1278"/>
      <c r="U18" s="1278"/>
      <c r="V18" s="1279"/>
    </row>
    <row r="19" spans="2:22" ht="15.95" customHeight="1">
      <c r="B19" s="159"/>
      <c r="C19" s="160"/>
      <c r="D19" s="1273" t="s">
        <v>218</v>
      </c>
      <c r="E19" s="1273"/>
      <c r="F19" s="1273"/>
      <c r="G19" s="1273"/>
      <c r="H19" s="1273"/>
      <c r="I19" s="1273"/>
      <c r="J19" s="1273"/>
      <c r="K19" s="1274"/>
      <c r="M19" s="159"/>
      <c r="N19" s="160"/>
      <c r="O19" s="1273" t="s">
        <v>392</v>
      </c>
      <c r="P19" s="1273"/>
      <c r="Q19" s="1273"/>
      <c r="R19" s="1273"/>
      <c r="S19" s="1273"/>
      <c r="T19" s="1273"/>
      <c r="U19" s="1273"/>
      <c r="V19" s="1274"/>
    </row>
    <row r="20" spans="2:22" ht="15.95" customHeight="1">
      <c r="B20" s="161"/>
      <c r="C20" s="173">
        <f>Waterfall!D84</f>
        <v>0.15883758134287662</v>
      </c>
      <c r="D20" s="162">
        <f>E20-Sensitivities!E31</f>
        <v>2.0000000000000004E-2</v>
      </c>
      <c r="E20" s="162">
        <f>F20-Sensitivities!E31</f>
        <v>2.2500000000000003E-2</v>
      </c>
      <c r="F20" s="162">
        <f>G20-Sensitivities!E31</f>
        <v>2.5000000000000001E-2</v>
      </c>
      <c r="G20" s="162">
        <f>H20-Sensitivities!E31</f>
        <v>2.75E-2</v>
      </c>
      <c r="H20" s="163">
        <f>'Inputs &amp; Assumptions'!V46</f>
        <v>0.03</v>
      </c>
      <c r="I20" s="162">
        <f>H20+Sensitivities!E31</f>
        <v>3.2500000000000001E-2</v>
      </c>
      <c r="J20" s="162">
        <f>I20+Sensitivities!E31</f>
        <v>3.5000000000000003E-2</v>
      </c>
      <c r="K20" s="164">
        <f>J20+Sensitivities!E31</f>
        <v>3.7500000000000006E-2</v>
      </c>
      <c r="M20" s="161"/>
      <c r="N20" s="173">
        <f>Waterfall!D84</f>
        <v>0.15883758134287662</v>
      </c>
      <c r="O20" s="174">
        <v>3</v>
      </c>
      <c r="P20" s="174">
        <v>4</v>
      </c>
      <c r="Q20" s="174">
        <v>5</v>
      </c>
      <c r="R20" s="174">
        <v>6</v>
      </c>
      <c r="S20" s="174">
        <v>7</v>
      </c>
      <c r="T20" s="174">
        <v>8</v>
      </c>
      <c r="U20" s="174">
        <v>9</v>
      </c>
      <c r="V20" s="175">
        <v>10</v>
      </c>
    </row>
    <row r="21" spans="2:22" ht="15.95" customHeight="1">
      <c r="B21" s="1271" t="s">
        <v>225</v>
      </c>
      <c r="C21" s="162">
        <f>C22+Sensitivities!E38</f>
        <v>6.0000000000000005E-2</v>
      </c>
      <c r="D21" s="167">
        <f t="dataTable" ref="D21:K27" dt2D="1" dtr="1" r1="I5" r2="I12"/>
        <v>0.15883758134287662</v>
      </c>
      <c r="E21" s="167">
        <v>0.15883758134287662</v>
      </c>
      <c r="F21" s="167">
        <v>0.15883758134287662</v>
      </c>
      <c r="G21" s="167">
        <v>0.15883758134287662</v>
      </c>
      <c r="H21" s="167">
        <v>0.15883758134287662</v>
      </c>
      <c r="I21" s="167">
        <v>0.15883758134287662</v>
      </c>
      <c r="J21" s="167">
        <v>0.15883758134287662</v>
      </c>
      <c r="K21" s="168">
        <v>0.15883758134287662</v>
      </c>
      <c r="M21" s="1271" t="s">
        <v>225</v>
      </c>
      <c r="N21" s="162">
        <f>N22+E38</f>
        <v>6.0000000000000005E-2</v>
      </c>
      <c r="O21" s="167">
        <f t="dataTable" ref="O21:V27" dt2D="1" dtr="1" r1="I10" r2="I12"/>
        <v>0.15883758134287662</v>
      </c>
      <c r="P21" s="167">
        <v>0.15883758134287662</v>
      </c>
      <c r="Q21" s="167">
        <v>0.15883758134287662</v>
      </c>
      <c r="R21" s="167">
        <v>0.15883758134287662</v>
      </c>
      <c r="S21" s="167">
        <v>0.15883758134287662</v>
      </c>
      <c r="T21" s="167">
        <v>0.15883758134287662</v>
      </c>
      <c r="U21" s="167">
        <v>0.15883758134287662</v>
      </c>
      <c r="V21" s="168">
        <v>0.15883758134287662</v>
      </c>
    </row>
    <row r="22" spans="2:22" ht="15.95" customHeight="1">
      <c r="B22" s="1271"/>
      <c r="C22" s="162">
        <f>C23+Sensitivities!E38</f>
        <v>5.7500000000000002E-2</v>
      </c>
      <c r="D22" s="167">
        <v>0.15883758134287662</v>
      </c>
      <c r="E22" s="167">
        <v>0.15883758134287662</v>
      </c>
      <c r="F22" s="167">
        <v>0.15883758134287662</v>
      </c>
      <c r="G22" s="167">
        <v>0.15883758134287662</v>
      </c>
      <c r="H22" s="167">
        <v>0.15883758134287662</v>
      </c>
      <c r="I22" s="167">
        <v>0.15883758134287662</v>
      </c>
      <c r="J22" s="167">
        <v>0.15883758134287662</v>
      </c>
      <c r="K22" s="168">
        <v>0.15883758134287662</v>
      </c>
      <c r="M22" s="1271"/>
      <c r="N22" s="162">
        <f>N23+E38</f>
        <v>5.7500000000000002E-2</v>
      </c>
      <c r="O22" s="167">
        <v>0.15883758134287662</v>
      </c>
      <c r="P22" s="167">
        <v>0.15883758134287662</v>
      </c>
      <c r="Q22" s="167">
        <v>0.15883758134287662</v>
      </c>
      <c r="R22" s="167">
        <v>0.15883758134287662</v>
      </c>
      <c r="S22" s="167">
        <v>0.15883758134287662</v>
      </c>
      <c r="T22" s="167">
        <v>0.15883758134287662</v>
      </c>
      <c r="U22" s="167">
        <v>0.15883758134287662</v>
      </c>
      <c r="V22" s="168">
        <v>0.15883758134287662</v>
      </c>
    </row>
    <row r="23" spans="2:22" ht="15.95" customHeight="1">
      <c r="B23" s="1271"/>
      <c r="C23" s="162">
        <f>C24+Sensitivities!E38</f>
        <v>5.5E-2</v>
      </c>
      <c r="D23" s="167">
        <v>0.15883758134287662</v>
      </c>
      <c r="E23" s="167">
        <v>0.15883758134287662</v>
      </c>
      <c r="F23" s="167">
        <v>0.15883758134287662</v>
      </c>
      <c r="G23" s="167">
        <v>0.15883758134287662</v>
      </c>
      <c r="H23" s="167">
        <v>0.15883758134287662</v>
      </c>
      <c r="I23" s="167">
        <v>0.15883758134287662</v>
      </c>
      <c r="J23" s="167">
        <v>0.15883758134287662</v>
      </c>
      <c r="K23" s="168">
        <v>0.15883758134287662</v>
      </c>
      <c r="M23" s="1271"/>
      <c r="N23" s="162">
        <f>N24+E38</f>
        <v>5.5E-2</v>
      </c>
      <c r="O23" s="167">
        <v>0.15883758134287662</v>
      </c>
      <c r="P23" s="167">
        <v>0.15883758134287662</v>
      </c>
      <c r="Q23" s="167">
        <v>0.15883758134287662</v>
      </c>
      <c r="R23" s="167">
        <v>0.15883758134287662</v>
      </c>
      <c r="S23" s="167">
        <v>0.15883758134287662</v>
      </c>
      <c r="T23" s="167">
        <v>0.15883758134287662</v>
      </c>
      <c r="U23" s="167">
        <v>0.15883758134287662</v>
      </c>
      <c r="V23" s="168">
        <v>0.15883758134287662</v>
      </c>
    </row>
    <row r="24" spans="2:22" ht="15.95" customHeight="1">
      <c r="B24" s="1271"/>
      <c r="C24" s="163">
        <f>'Inputs &amp; Assumptions'!V65</f>
        <v>5.2499999999999998E-2</v>
      </c>
      <c r="D24" s="167">
        <v>0.15883758134287662</v>
      </c>
      <c r="E24" s="167">
        <v>0.15883758134287662</v>
      </c>
      <c r="F24" s="167">
        <v>0.15883758134287662</v>
      </c>
      <c r="G24" s="169">
        <v>0.15883758134287662</v>
      </c>
      <c r="H24" s="170">
        <v>0.15883758134287662</v>
      </c>
      <c r="I24" s="167">
        <v>0.15883758134287662</v>
      </c>
      <c r="J24" s="167">
        <v>0.15883758134287662</v>
      </c>
      <c r="K24" s="168">
        <v>0.15883758134287662</v>
      </c>
      <c r="M24" s="1271"/>
      <c r="N24" s="162">
        <f>'Inputs &amp; Assumptions'!V65</f>
        <v>5.2499999999999998E-2</v>
      </c>
      <c r="O24" s="167">
        <v>0.15883758134287662</v>
      </c>
      <c r="P24" s="167">
        <v>0.15883758134287662</v>
      </c>
      <c r="Q24" s="167">
        <v>0.15883758134287662</v>
      </c>
      <c r="R24" s="169">
        <v>0.15883758134287662</v>
      </c>
      <c r="S24" s="169">
        <v>0.15883758134287662</v>
      </c>
      <c r="T24" s="167">
        <v>0.15883758134287662</v>
      </c>
      <c r="U24" s="167">
        <v>0.15883758134287662</v>
      </c>
      <c r="V24" s="168">
        <v>0.15883758134287662</v>
      </c>
    </row>
    <row r="25" spans="2:22" ht="15.95" customHeight="1">
      <c r="B25" s="1271"/>
      <c r="C25" s="162">
        <f>C24-Sensitivities!E38</f>
        <v>4.9999999999999996E-2</v>
      </c>
      <c r="D25" s="167">
        <v>0.15883758134287662</v>
      </c>
      <c r="E25" s="167">
        <v>0.15883758134287662</v>
      </c>
      <c r="F25" s="167">
        <v>0.15883758134287662</v>
      </c>
      <c r="G25" s="167">
        <v>0.15883758134287662</v>
      </c>
      <c r="H25" s="167">
        <v>0.15883758134287662</v>
      </c>
      <c r="I25" s="167">
        <v>0.15883758134287662</v>
      </c>
      <c r="J25" s="167">
        <v>0.15883758134287662</v>
      </c>
      <c r="K25" s="168">
        <v>0.15883758134287662</v>
      </c>
      <c r="M25" s="1271"/>
      <c r="N25" s="162">
        <f>N24-E38</f>
        <v>4.9999999999999996E-2</v>
      </c>
      <c r="O25" s="167">
        <v>0.15883758134287662</v>
      </c>
      <c r="P25" s="167">
        <v>0.15883758134287662</v>
      </c>
      <c r="Q25" s="167">
        <v>0.15883758134287662</v>
      </c>
      <c r="R25" s="167">
        <v>0.15883758134287662</v>
      </c>
      <c r="S25" s="167">
        <v>0.15883758134287662</v>
      </c>
      <c r="T25" s="167">
        <v>0.15883758134287662</v>
      </c>
      <c r="U25" s="167">
        <v>0.15883758134287662</v>
      </c>
      <c r="V25" s="168">
        <v>0.15883758134287662</v>
      </c>
    </row>
    <row r="26" spans="2:22" ht="15.95" customHeight="1">
      <c r="B26" s="1271"/>
      <c r="C26" s="162">
        <f>C25-Sensitivities!E38</f>
        <v>4.7499999999999994E-2</v>
      </c>
      <c r="D26" s="167">
        <v>0.15883758134287662</v>
      </c>
      <c r="E26" s="167">
        <v>0.15883758134287662</v>
      </c>
      <c r="F26" s="167">
        <v>0.15883758134287662</v>
      </c>
      <c r="G26" s="167">
        <v>0.15883758134287662</v>
      </c>
      <c r="H26" s="167">
        <v>0.15883758134287662</v>
      </c>
      <c r="I26" s="167">
        <v>0.15883758134287662</v>
      </c>
      <c r="J26" s="167">
        <v>0.15883758134287662</v>
      </c>
      <c r="K26" s="168">
        <v>0.15883758134287662</v>
      </c>
      <c r="M26" s="1271"/>
      <c r="N26" s="162">
        <f>N25-E38</f>
        <v>4.7499999999999994E-2</v>
      </c>
      <c r="O26" s="167">
        <v>0.15883758134287662</v>
      </c>
      <c r="P26" s="167">
        <v>0.15883758134287662</v>
      </c>
      <c r="Q26" s="167">
        <v>0.15883758134287662</v>
      </c>
      <c r="R26" s="167">
        <v>0.15883758134287662</v>
      </c>
      <c r="S26" s="167">
        <v>0.15883758134287662</v>
      </c>
      <c r="T26" s="167">
        <v>0.15883758134287662</v>
      </c>
      <c r="U26" s="167">
        <v>0.15883758134287662</v>
      </c>
      <c r="V26" s="168">
        <v>0.15883758134287662</v>
      </c>
    </row>
    <row r="27" spans="2:22" ht="15.95" customHeight="1" thickBot="1">
      <c r="B27" s="1272"/>
      <c r="C27" s="166">
        <f>C26-Sensitivities!E38</f>
        <v>4.4999999999999991E-2</v>
      </c>
      <c r="D27" s="171">
        <v>0.15883758134287662</v>
      </c>
      <c r="E27" s="171">
        <v>0.15883758134287662</v>
      </c>
      <c r="F27" s="171">
        <v>0.15883758134287662</v>
      </c>
      <c r="G27" s="171">
        <v>0.15883758134287662</v>
      </c>
      <c r="H27" s="171">
        <v>0.15883758134287662</v>
      </c>
      <c r="I27" s="171">
        <v>0.15883758134287662</v>
      </c>
      <c r="J27" s="171">
        <v>0.15883758134287662</v>
      </c>
      <c r="K27" s="172">
        <v>0.15883758134287662</v>
      </c>
      <c r="M27" s="1272"/>
      <c r="N27" s="166">
        <f>N26-E38</f>
        <v>4.4999999999999991E-2</v>
      </c>
      <c r="O27" s="171">
        <v>0.15883758134287662</v>
      </c>
      <c r="P27" s="171">
        <v>0.15883758134287662</v>
      </c>
      <c r="Q27" s="171">
        <v>0.15883758134287662</v>
      </c>
      <c r="R27" s="171">
        <v>0.15883758134287662</v>
      </c>
      <c r="S27" s="171">
        <v>0.15883758134287662</v>
      </c>
      <c r="T27" s="171">
        <v>0.15883758134287662</v>
      </c>
      <c r="U27" s="171">
        <v>0.15883758134287662</v>
      </c>
      <c r="V27" s="172">
        <v>0.15883758134287662</v>
      </c>
    </row>
    <row r="28" spans="2:22" ht="15.95" customHeight="1">
      <c r="B28" s="33"/>
      <c r="C28" s="33"/>
      <c r="G28" s="274"/>
    </row>
    <row r="29" spans="2:22" ht="18.95" customHeight="1">
      <c r="B29" s="278"/>
      <c r="C29" s="278"/>
      <c r="D29" s="278"/>
      <c r="E29" s="278"/>
      <c r="F29" s="278"/>
      <c r="G29" s="278"/>
      <c r="H29" s="278"/>
      <c r="I29" s="278"/>
      <c r="J29" s="278"/>
      <c r="K29" s="278"/>
    </row>
    <row r="30" spans="2:22" ht="18.95" customHeight="1">
      <c r="B30" s="1268" t="s">
        <v>393</v>
      </c>
      <c r="C30" s="1269"/>
      <c r="D30" s="1269"/>
      <c r="E30" s="1270"/>
      <c r="F30" s="279"/>
      <c r="G30" s="279"/>
      <c r="H30" s="280"/>
      <c r="I30" s="278"/>
      <c r="J30" s="278"/>
      <c r="K30" s="278"/>
      <c r="L30" s="278"/>
      <c r="M30" s="278"/>
      <c r="N30" s="278"/>
      <c r="O30" s="278"/>
      <c r="P30" s="278"/>
      <c r="Q30" s="278"/>
      <c r="R30" s="278"/>
      <c r="S30" s="278"/>
      <c r="T30" s="278"/>
    </row>
    <row r="31" spans="2:22" ht="15.95" customHeight="1">
      <c r="B31" s="39" t="s">
        <v>218</v>
      </c>
      <c r="E31" s="44">
        <v>2.5000000000000001E-3</v>
      </c>
      <c r="F31" s="177"/>
      <c r="Q31" s="177"/>
    </row>
    <row r="32" spans="2:22" ht="15.95" customHeight="1">
      <c r="B32" s="39" t="s">
        <v>374</v>
      </c>
      <c r="D32" s="34"/>
      <c r="E32" s="45"/>
      <c r="F32" s="275"/>
      <c r="K32" s="43"/>
    </row>
    <row r="33" spans="2:136" ht="15.95" customHeight="1">
      <c r="B33" s="39" t="s">
        <v>394</v>
      </c>
      <c r="D33" s="34"/>
      <c r="E33" s="46">
        <v>1</v>
      </c>
      <c r="F33" s="275"/>
      <c r="G33" s="177"/>
      <c r="H33" s="165"/>
      <c r="I33" s="281"/>
      <c r="J33" s="281"/>
      <c r="K33" s="281"/>
      <c r="L33" s="281"/>
      <c r="M33" s="281"/>
      <c r="N33" s="300"/>
    </row>
    <row r="34" spans="2:136" ht="15.95" customHeight="1">
      <c r="B34" s="39" t="s">
        <v>395</v>
      </c>
      <c r="D34" s="34"/>
      <c r="E34" s="45"/>
      <c r="F34" s="275"/>
      <c r="G34" s="177"/>
      <c r="H34" s="178"/>
      <c r="I34" s="275"/>
      <c r="J34" s="275"/>
      <c r="K34" s="275"/>
      <c r="L34" s="275"/>
      <c r="M34" s="275"/>
      <c r="N34" s="300"/>
      <c r="O34" s="275"/>
      <c r="P34" s="275"/>
    </row>
    <row r="35" spans="2:136" ht="15.95" customHeight="1">
      <c r="B35" s="39" t="s">
        <v>396</v>
      </c>
      <c r="D35" s="34"/>
      <c r="E35" s="47">
        <v>5.0000000000000001E-3</v>
      </c>
      <c r="F35" s="275"/>
      <c r="G35" s="276"/>
      <c r="H35" s="165"/>
      <c r="I35" s="275"/>
      <c r="J35" s="275"/>
      <c r="K35" s="277"/>
      <c r="N35" s="300"/>
    </row>
    <row r="36" spans="2:136" ht="15.95" customHeight="1">
      <c r="B36" s="39" t="s">
        <v>392</v>
      </c>
      <c r="E36" s="44" t="s">
        <v>397</v>
      </c>
      <c r="F36" s="275"/>
      <c r="G36" s="275"/>
      <c r="H36" s="275"/>
      <c r="I36" s="275"/>
      <c r="J36" s="275"/>
      <c r="K36" s="277"/>
      <c r="N36" s="300"/>
    </row>
    <row r="37" spans="2:136" ht="15.95" customHeight="1">
      <c r="B37" s="39" t="s">
        <v>384</v>
      </c>
      <c r="D37" s="34"/>
      <c r="E37" s="45"/>
      <c r="F37" s="275"/>
      <c r="G37" s="275"/>
      <c r="H37" s="275"/>
      <c r="I37" s="275"/>
      <c r="J37" s="275"/>
      <c r="K37" s="277"/>
      <c r="N37" s="300"/>
    </row>
    <row r="38" spans="2:136" ht="15.95" customHeight="1">
      <c r="B38" s="39" t="s">
        <v>225</v>
      </c>
      <c r="E38" s="44">
        <v>2.5000000000000001E-3</v>
      </c>
      <c r="F38" s="275"/>
      <c r="G38" s="275"/>
      <c r="H38" s="275"/>
      <c r="I38" s="275"/>
      <c r="J38" s="275"/>
      <c r="K38" s="277"/>
      <c r="N38" s="205"/>
    </row>
    <row r="39" spans="2:136" ht="15.95" customHeight="1">
      <c r="B39" s="40" t="s">
        <v>380</v>
      </c>
      <c r="C39" s="41"/>
      <c r="D39" s="41"/>
      <c r="E39" s="48">
        <v>1.2</v>
      </c>
      <c r="L39" s="35"/>
      <c r="N39" s="205"/>
    </row>
    <row r="40" spans="2:136" ht="15.95" customHeight="1">
      <c r="B40" s="33"/>
      <c r="G40" s="274"/>
    </row>
    <row r="41" spans="2:136" ht="15.95" customHeight="1">
      <c r="B41" s="33"/>
      <c r="C41" s="33"/>
      <c r="G41" s="274"/>
    </row>
    <row r="42" spans="2:136" ht="15.95" customHeight="1">
      <c r="B42" s="33"/>
    </row>
    <row r="43" spans="2:136">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row>
    <row r="44" spans="2:136">
      <c r="E44" s="11"/>
      <c r="F44" s="11"/>
      <c r="G44" s="11"/>
      <c r="H44" s="11"/>
      <c r="I44" s="11"/>
      <c r="J44" s="11"/>
    </row>
    <row r="45" spans="2:136">
      <c r="E45" s="11"/>
      <c r="F45" s="11"/>
      <c r="G45" s="11"/>
      <c r="H45" s="11"/>
      <c r="I45" s="11"/>
      <c r="J45" s="11"/>
    </row>
    <row r="46" spans="2:136">
      <c r="E46" s="11"/>
      <c r="F46" s="11"/>
      <c r="G46" s="11"/>
      <c r="H46" s="11"/>
      <c r="I46" s="11"/>
      <c r="J46" s="11"/>
    </row>
    <row r="47" spans="2:136">
      <c r="E47" s="11"/>
      <c r="F47" s="11"/>
      <c r="G47" s="11"/>
      <c r="H47" s="11"/>
      <c r="I47" s="11"/>
      <c r="J47" s="11"/>
    </row>
    <row r="48" spans="2:136">
      <c r="E48" s="11"/>
      <c r="F48" s="11"/>
      <c r="G48" s="11"/>
      <c r="H48" s="11"/>
      <c r="I48" s="11"/>
      <c r="J48" s="11"/>
    </row>
    <row r="52" spans="1:1" ht="20.25">
      <c r="A52" s="17"/>
    </row>
  </sheetData>
  <dataConsolidate/>
  <mergeCells count="10">
    <mergeCell ref="O19:V19"/>
    <mergeCell ref="M18:V18"/>
    <mergeCell ref="B18:K18"/>
    <mergeCell ref="H4:J4"/>
    <mergeCell ref="B21:B27"/>
    <mergeCell ref="B30:E30"/>
    <mergeCell ref="M21:M27"/>
    <mergeCell ref="D19:K19"/>
    <mergeCell ref="B4:D4"/>
    <mergeCell ref="E4:G4"/>
  </mergeCells>
  <dataValidations count="1">
    <dataValidation type="list" allowBlank="1" showInputMessage="1" showErrorMessage="1" sqref="H16" xr:uid="{B4918DA3-22CA-324A-AC91-A3FB6B64B562}">
      <formula1>"Project,Net"</formula1>
    </dataValidation>
  </dataValidations>
  <pageMargins left="0.7" right="0.7" top="0.75" bottom="0.75" header="0.3" footer="0.3"/>
  <cellWatches>
    <cellWatch r="J6"/>
    <cellWatch r="F10"/>
    <cellWatch r="F11"/>
    <cellWatch r="F14"/>
    <cellWatch r="F16"/>
    <cellWatch r="F9"/>
    <cellWatch r="J9"/>
    <cellWatch r="F13"/>
    <cellWatch r="F12"/>
    <cellWatch r="F8"/>
    <cellWatch r="F7"/>
    <cellWatch r="F20"/>
    <cellWatch r="F19"/>
    <cellWatch r="F28"/>
    <cellWatch r="F27"/>
    <cellWatch r="J7"/>
    <cellWatch r="J10"/>
    <cellWatch r="F15"/>
    <cellWatch r="F23"/>
    <cellWatch r="F22"/>
    <cellWatch r="J8"/>
    <cellWatch r="F5"/>
    <cellWatch r="F56"/>
    <cellWatch r="J5"/>
    <cellWatch r="F6"/>
    <cellWatch r="F18"/>
    <cellWatch r="F26"/>
    <cellWatch r="J2"/>
    <cellWatch r="F4"/>
    <cellWatch r="F3"/>
    <cellWatch r="F24"/>
    <cellWatch r="F21"/>
    <cellWatch r="F29"/>
    <cellWatch r="F17"/>
    <cellWatch r="F25"/>
    <cellWatch r="L8"/>
    <cellWatch r="H10"/>
    <cellWatch r="H13"/>
    <cellWatch r="H14"/>
    <cellWatch r="H16"/>
    <cellWatch r="I8"/>
    <cellWatch r="L10"/>
    <cellWatch r="H15"/>
    <cellWatch r="I7"/>
    <cellWatch r="I6"/>
    <cellWatch r="H18"/>
    <cellWatch r="H17"/>
    <cellWatch r="H26"/>
    <cellWatch r="H25"/>
    <cellWatch r="L7"/>
    <cellWatch r="I5"/>
    <cellWatch r="R14"/>
    <cellWatch r="R15"/>
    <cellWatch r="R13"/>
    <cellWatch r="F55"/>
    <cellWatch r="R16"/>
    <cellWatch r="H20"/>
    <cellWatch r="H19"/>
    <cellWatch r="H28"/>
    <cellWatch r="H27"/>
    <cellWatch r="K6"/>
    <cellWatch r="K9"/>
    <cellWatch r="H12"/>
    <cellWatch r="H22"/>
    <cellWatch r="H21"/>
    <cellWatch r="R12"/>
    <cellWatch r="F49"/>
    <cellWatch r="N16"/>
    <cellWatch r="E10"/>
    <cellWatch r="E11"/>
    <cellWatch r="E14"/>
    <cellWatch r="E16"/>
    <cellWatch r="E9"/>
    <cellWatch r="I9"/>
    <cellWatch r="E13"/>
    <cellWatch r="E12"/>
    <cellWatch r="E8"/>
    <cellWatch r="E7"/>
    <cellWatch r="E20"/>
    <cellWatch r="E19"/>
    <cellWatch r="E28"/>
    <cellWatch r="E27"/>
    <cellWatch r="K7"/>
    <cellWatch r="G10"/>
    <cellWatch r="G13"/>
    <cellWatch r="G14"/>
    <cellWatch r="G16"/>
    <cellWatch r="H8"/>
    <cellWatch r="G15"/>
    <cellWatch r="H7"/>
    <cellWatch r="H6"/>
    <cellWatch r="G20"/>
    <cellWatch r="G19"/>
    <cellWatch r="G28"/>
    <cellWatch r="G27"/>
    <cellWatch r="H5"/>
    <cellWatch r="G18"/>
    <cellWatch r="E6"/>
    <cellWatch r="E18"/>
    <cellWatch r="E21"/>
    <cellWatch r="E29"/>
    <cellWatch r="Q14"/>
    <cellWatch r="I10"/>
    <cellWatch r="Q15"/>
    <cellWatch r="Q13"/>
    <cellWatch r="E15"/>
    <cellWatch r="E23"/>
    <cellWatch r="E22"/>
    <cellWatch r="E5"/>
    <cellWatch r="E55"/>
    <cellWatch r="Q16"/>
    <cellWatch r="E26"/>
    <cellWatch r="E17"/>
    <cellWatch r="E25"/>
    <cellWatch r="G17"/>
    <cellWatch r="G26"/>
    <cellWatch r="G25"/>
    <cellWatch r="E56"/>
    <cellWatch r="F30"/>
    <cellWatch r="L9"/>
    <cellWatch r="H11"/>
    <cellWatch r="L11"/>
    <cellWatch r="J11"/>
    <cellWatch r="H29"/>
    <cellWatch r="F57"/>
    <cellWatch r="K10"/>
    <cellWatch r="F103"/>
    <cellWatch r="F104"/>
    <cellWatch r="F111"/>
    <cellWatch r="F110"/>
    <cellWatch r="F112"/>
    <cellWatch r="F102"/>
    <cellWatch r="J102"/>
    <cellWatch r="F107"/>
    <cellWatch r="F106"/>
    <cellWatch r="F105"/>
    <cellWatch r="F119"/>
    <cellWatch r="F118"/>
    <cellWatch r="F127"/>
    <cellWatch r="F126"/>
    <cellWatch r="N104"/>
    <cellWatch r="N107"/>
    <cellWatch r="F108"/>
    <cellWatch r="F115"/>
    <cellWatch r="F114"/>
    <cellWatch r="F123"/>
    <cellWatch r="F122"/>
    <cellWatch r="J103"/>
    <cellWatch r="F109"/>
    <cellWatch r="F117"/>
    <cellWatch r="F125"/>
    <cellWatch r="F120"/>
    <cellWatch r="F128"/>
    <cellWatch r="F116"/>
    <cellWatch r="F124"/>
    <cellWatch r="H103"/>
    <cellWatch r="H106"/>
    <cellWatch r="H111"/>
    <cellWatch r="H110"/>
    <cellWatch r="L102"/>
    <cellWatch r="H109"/>
    <cellWatch r="H108"/>
    <cellWatch r="H107"/>
    <cellWatch r="H117"/>
    <cellWatch r="H116"/>
    <cellWatch r="H125"/>
    <cellWatch r="H124"/>
    <cellWatch r="H115"/>
    <cellWatch r="F54"/>
    <cellWatch r="F31"/>
    <cellWatch r="H23"/>
    <cellWatch r="H33"/>
    <cellWatch r="H30"/>
    <cellWatch r="F32"/>
    <cellWatch r="F62"/>
    <cellWatch r="F63"/>
    <cellWatch r="S42"/>
    <cellWatch r="R42"/>
    <cellWatch r="R18"/>
    <cellWatch r="T14"/>
    <cellWatch r="T15"/>
    <cellWatch r="T13"/>
    <cellWatch r="L6"/>
    <cellWatch r="T16"/>
    <cellWatch r="N13"/>
    <cellWatch r="J13"/>
    <cellWatch r="J14"/>
    <cellWatch r="J16"/>
    <cellWatch r="K8"/>
    <cellWatch r="J15"/>
    <cellWatch r="J20"/>
    <cellWatch r="J19"/>
    <cellWatch r="J28"/>
    <cellWatch r="J27"/>
    <cellWatch r="N12"/>
    <cellWatch r="K5"/>
    <cellWatch r="J18"/>
    <cellWatch r="J17"/>
    <cellWatch r="J26"/>
    <cellWatch r="J25"/>
    <cellWatch r="L2"/>
    <cellWatch r="M12"/>
    <cellWatch r="J21"/>
    <cellWatch r="J29"/>
    <cellWatch r="J23"/>
    <cellWatch r="J22"/>
    <cellWatch r="J33"/>
    <cellWatch r="J30"/>
    <cellWatch r="D16"/>
    <cellWatch r="D14"/>
    <cellWatch r="H9"/>
    <cellWatch r="D13"/>
    <cellWatch r="D12"/>
    <cellWatch r="D19"/>
    <cellWatch r="D18"/>
    <cellWatch r="D26"/>
    <cellWatch r="D25"/>
    <cellWatch r="G8"/>
    <cellWatch r="G7"/>
    <cellWatch r="G6"/>
    <cellWatch r="G5"/>
    <cellWatch r="D17"/>
    <cellWatch r="D20"/>
    <cellWatch r="D27"/>
    <cellWatch r="Q40"/>
    <cellWatch r="P16"/>
    <cellWatch r="D15"/>
    <cellWatch r="D22"/>
    <cellWatch r="D21"/>
    <cellWatch r="D5"/>
    <cellWatch r="E51"/>
    <cellWatch r="P40"/>
    <cellWatch r="D24"/>
    <cellWatch r="L12"/>
    <cellWatch r="L13"/>
    <cellWatch r="E52"/>
    <cellWatch r="H2"/>
    <cellWatch r="E4"/>
    <cellWatch r="E3"/>
    <cellWatch r="D23"/>
    <cellWatch r="D45"/>
    <cellWatch r="D28"/>
    <cellWatch r="G11"/>
    <cellWatch r="G9"/>
    <cellWatch r="L14"/>
    <cellWatch r="Q41"/>
    <cellWatch r="P41"/>
    <cellWatch r="E53"/>
    <cellWatch r="D10"/>
    <cellWatch r="D11"/>
    <cellWatch r="C16"/>
    <cellWatch r="C14"/>
    <cellWatch r="D9"/>
    <cellWatch r="C13"/>
    <cellWatch r="C12"/>
    <cellWatch r="D8"/>
    <cellWatch r="D7"/>
    <cellWatch r="C19"/>
    <cellWatch r="C18"/>
    <cellWatch r="C26"/>
    <cellWatch r="C25"/>
    <cellWatch r="D6"/>
    <cellWatch r="C17"/>
    <cellWatch r="C20"/>
    <cellWatch r="C27"/>
    <cellWatch r="O16"/>
    <cellWatch r="C15"/>
    <cellWatch r="C22"/>
    <cellWatch r="C21"/>
    <cellWatch r="C5"/>
    <cellWatch r="D51"/>
    <cellWatch r="O40"/>
    <cellWatch r="C24"/>
    <cellWatch r="E24"/>
    <cellWatch r="K11"/>
    <cellWatch r="D52"/>
    <cellWatch r="E99"/>
    <cellWatch r="E100"/>
    <cellWatch r="E107"/>
    <cellWatch r="E106"/>
    <cellWatch r="E108"/>
    <cellWatch r="E98"/>
    <cellWatch r="H98"/>
    <cellWatch r="E103"/>
    <cellWatch r="E102"/>
    <cellWatch r="E101"/>
    <cellWatch r="E115"/>
    <cellWatch r="E114"/>
    <cellWatch r="E123"/>
    <cellWatch r="E122"/>
    <cellWatch r="L100"/>
    <cellWatch r="L103"/>
    <cellWatch r="E104"/>
    <cellWatch r="E111"/>
    <cellWatch r="E110"/>
    <cellWatch r="E119"/>
    <cellWatch r="E118"/>
    <cellWatch r="H99"/>
    <cellWatch r="E105"/>
    <cellWatch r="E113"/>
    <cellWatch r="E121"/>
    <cellWatch r="E116"/>
    <cellWatch r="E124"/>
    <cellWatch r="E112"/>
    <cellWatch r="E120"/>
    <cellWatch r="G99"/>
    <cellWatch r="G102"/>
    <cellWatch r="G107"/>
    <cellWatch r="G106"/>
    <cellWatch r="J98"/>
    <cellWatch r="G105"/>
    <cellWatch r="G104"/>
    <cellWatch r="G103"/>
    <cellWatch r="G113"/>
    <cellWatch r="G112"/>
    <cellWatch r="G121"/>
    <cellWatch r="G120"/>
    <cellWatch r="G111"/>
    <cellWatch r="L16"/>
    <cellWatch r="L15"/>
    <cellWatch r="G22"/>
    <cellWatch r="G21"/>
    <cellWatch r="G23"/>
    <cellWatch r="G30"/>
    <cellWatch r="G29"/>
    <cellWatch r="G38"/>
    <cellWatch r="G37"/>
    <cellWatch r="K15"/>
    <cellWatch r="K14"/>
    <cellWatch r="G36"/>
    <cellWatch r="I14"/>
    <cellWatch r="I16"/>
    <cellWatch r="I21"/>
    <cellWatch r="I20"/>
    <cellWatch r="I22"/>
    <cellWatch r="I19"/>
    <cellWatch r="I18"/>
    <cellWatch r="I17"/>
    <cellWatch r="I29"/>
    <cellWatch r="I28"/>
    <cellWatch r="I37"/>
    <cellWatch r="I36"/>
    <cellWatch r="I27"/>
    <cellWatch r="T42"/>
    <cellWatch r="S22"/>
    <cellWatch r="S21"/>
    <cellWatch r="S18"/>
    <cellWatch r="S17"/>
    <cellWatch r="S16"/>
    <cellWatch r="G24"/>
    <cellWatch r="G34"/>
    <cellWatch r="G33"/>
    <cellWatch r="K16"/>
    <cellWatch r="G64"/>
    <cellWatch r="S20"/>
    <cellWatch r="G35"/>
    <cellWatch r="I26"/>
    <cellWatch r="I35"/>
    <cellWatch r="I25"/>
    <cellWatch r="O17"/>
    <cellWatch r="G65"/>
    <cellWatch r="I23"/>
    <cellWatch r="I33"/>
    <cellWatch r="G58"/>
    <cellWatch r="S19"/>
    <cellWatch r="O20"/>
    <cellWatch r="O23"/>
    <cellWatch r="F37"/>
    <cellWatch r="F36"/>
    <cellWatch r="I15"/>
    <cellWatch r="H37"/>
    <cellWatch r="H36"/>
    <cellWatch r="F38"/>
    <cellWatch r="R22"/>
    <cellWatch r="R21"/>
    <cellWatch r="R17"/>
    <cellWatch r="F64"/>
    <cellWatch r="R20"/>
    <cellWatch r="F35"/>
    <cellWatch r="F34"/>
    <cellWatch r="H35"/>
    <cellWatch r="N17"/>
    <cellWatch r="F65"/>
    <cellWatch r="G39"/>
    <cellWatch r="M16"/>
    <cellWatch r="O18"/>
    <cellWatch r="I38"/>
    <cellWatch r="T43"/>
    <cellWatch r="S23"/>
    <cellWatch r="S43"/>
    <cellWatch r="G66"/>
    <cellWatch r="G119"/>
    <cellWatch r="K111"/>
    <cellWatch r="G116"/>
    <cellWatch r="G115"/>
    <cellWatch r="G114"/>
    <cellWatch r="G128"/>
    <cellWatch r="G127"/>
    <cellWatch r="G136"/>
    <cellWatch r="G135"/>
    <cellWatch r="O113"/>
    <cellWatch r="O116"/>
    <cellWatch r="G117"/>
    <cellWatch r="G124"/>
    <cellWatch r="G123"/>
    <cellWatch r="G132"/>
    <cellWatch r="G131"/>
    <cellWatch r="K112"/>
    <cellWatch r="G118"/>
    <cellWatch r="G126"/>
    <cellWatch r="G134"/>
    <cellWatch r="G129"/>
    <cellWatch r="G137"/>
    <cellWatch r="G125"/>
    <cellWatch r="G133"/>
    <cellWatch r="I112"/>
    <cellWatch r="I115"/>
    <cellWatch r="I120"/>
    <cellWatch r="I119"/>
    <cellWatch r="M111"/>
    <cellWatch r="I118"/>
    <cellWatch r="I117"/>
    <cellWatch r="I116"/>
    <cellWatch r="I126"/>
    <cellWatch r="I125"/>
    <cellWatch r="I134"/>
    <cellWatch r="I133"/>
    <cellWatch r="I124"/>
    <cellWatch r="O21"/>
    <cellWatch r="O24"/>
    <cellWatch r="G63"/>
    <cellWatch r="G40"/>
    <cellWatch r="I24"/>
    <cellWatch r="I34"/>
    <cellWatch r="I40"/>
    <cellWatch r="I39"/>
    <cellWatch r="G41"/>
    <cellWatch r="O19"/>
    <cellWatch r="O22"/>
    <cellWatch r="S50"/>
    <cellWatch r="G71"/>
    <cellWatch r="G72"/>
    <cellWatch r="T50"/>
    <cellWatch r="T51"/>
    <cellWatch r="S51"/>
    <cellWatch r="S27"/>
    <cellWatch r="S44"/>
    <cellWatch r="Q21"/>
    <cellWatch r="Q20"/>
    <cellWatch r="Q17"/>
    <cellWatch r="F60"/>
    <cellWatch r="Q19"/>
    <cellWatch r="F61"/>
    <cellWatch r="E54"/>
    <cellWatch r="Q18"/>
    <cellWatch r="M17"/>
    <cellWatch r="Q22"/>
    <cellWatch r="C28"/>
    <cellWatch r="C29"/>
    <cellWatch r="P21"/>
    <cellWatch r="P20"/>
    <cellWatch r="P17"/>
    <cellWatch r="C23"/>
    <cellWatch r="E60"/>
    <cellWatch r="P19"/>
    <cellWatch r="F33"/>
    <cellWatch r="E61"/>
    <cellWatch r="M19"/>
    <cellWatch r="M22"/>
    <cellWatch r="I107"/>
    <cellWatch r="F132"/>
    <cellWatch r="F131"/>
    <cellWatch r="M109"/>
    <cellWatch r="M112"/>
    <cellWatch r="F113"/>
    <cellWatch r="I108"/>
    <cellWatch r="F130"/>
    <cellWatch r="F133"/>
    <cellWatch r="F121"/>
    <cellWatch r="F129"/>
    <cellWatch r="K107"/>
    <cellWatch r="H114"/>
    <cellWatch r="H113"/>
    <cellWatch r="H112"/>
    <cellWatch r="H122"/>
    <cellWatch r="H121"/>
    <cellWatch r="H130"/>
    <cellWatch r="H129"/>
    <cellWatch r="H120"/>
    <cellWatch r="M20"/>
    <cellWatch r="M23"/>
    <cellWatch r="E40"/>
    <cellWatch r="H24"/>
    <cellWatch r="H34"/>
    <cellWatch r="H39"/>
    <cellWatch r="H38"/>
    <cellWatch r="U22"/>
    <cellWatch r="U21"/>
    <cellWatch r="U18"/>
    <cellWatch r="U17"/>
    <cellWatch r="U16"/>
    <cellWatch r="X20"/>
    <cellWatch r="K21"/>
    <cellWatch r="K20"/>
    <cellWatch r="K22"/>
    <cellWatch r="K19"/>
    <cellWatch r="K18"/>
    <cellWatch r="K17"/>
    <cellWatch r="K29"/>
    <cellWatch r="K28"/>
    <cellWatch r="K37"/>
    <cellWatch r="K36"/>
    <cellWatch r="K27"/>
    <cellWatch r="K26"/>
    <cellWatch r="K35"/>
    <cellWatch r="K25"/>
    <cellWatch r="K23"/>
    <cellWatch r="I30"/>
    <cellWatch r="K38"/>
    <cellWatch r="V42"/>
    <cellWatch r="U23"/>
    <cellWatch r="U19"/>
    <cellWatch r="U42"/>
    <cellWatch r="K24"/>
    <cellWatch r="K34"/>
    <cellWatch r="K33"/>
    <cellWatch r="K40"/>
    <cellWatch r="K39"/>
    <cellWatch r="O13"/>
    <cellWatch r="L17"/>
    <cellWatch r="M15"/>
    <cellWatch r="M13"/>
    <cellWatch r="O12"/>
    <cellWatch r="M11"/>
    <cellWatch r="N11"/>
    <cellWatch r="S15"/>
    <cellWatch r="S14"/>
    <cellWatch r="S13"/>
    <cellWatch r="N15"/>
    <cellWatch r="R11"/>
    <cellWatch r="K13"/>
    <cellWatch r="Q11"/>
    <cellWatch r="E62"/>
    <cellWatch r="S12"/>
    <cellWatch r="R19"/>
    <cellWatch r="O15"/>
    <cellWatch r="L108"/>
    <cellWatch r="P110"/>
    <cellWatch r="P113"/>
    <cellWatch r="L109"/>
    <cellWatch r="F134"/>
    <cellWatch r="N108"/>
    <cellWatch r="H123"/>
    <cellWatch r="H131"/>
    <cellWatch r="S47"/>
    <cellWatch r="F68"/>
    <cellWatch r="F69"/>
    <cellWatch r="T47"/>
    <cellWatch r="T48"/>
    <cellWatch r="S48"/>
    <cellWatch r="U15"/>
    <cellWatch r="U14"/>
    <cellWatch r="U13"/>
    <cellWatch r="O11"/>
    <cellWatch r="R7"/>
    <cellWatch r="L21"/>
    <cellWatch r="R9"/>
    <cellWatch r="L28"/>
    <cellWatch r="L27"/>
    <cellWatch r="L36"/>
    <cellWatch r="L35"/>
    <cellWatch r="R6"/>
    <cellWatch r="L26"/>
    <cellWatch r="S11"/>
    <cellWatch r="L25"/>
    <cellWatch r="L24"/>
    <cellWatch r="N2"/>
    <cellWatch r="Q6"/>
    <cellWatch r="Q9"/>
    <cellWatch r="L22"/>
    <cellWatch r="L29"/>
    <cellWatch r="L23"/>
    <cellWatch r="L33"/>
    <cellWatch r="L30"/>
    <cellWatch r="L37"/>
    <cellWatch r="L18"/>
    <cellWatch r="F59"/>
    <cellWatch r="L107"/>
    <cellWatch r="P109"/>
    <cellWatch r="P112"/>
    <cellWatch r="S46"/>
    <cellWatch r="F67"/>
    <cellWatch r="T46"/>
    <cellWatch r="N18"/>
    <cellWatch r="L34"/>
    <cellWatch r="F58"/>
    <cellWatch r="Q12"/>
    <cellWatch r="R10"/>
    <cellWatch r="Q10"/>
    <cellWatch r="D29"/>
    <cellWatch r="E57"/>
    <cellWatch r="S40"/>
    <cellWatch r="D50"/>
    <cellWatch r="S41"/>
    <cellWatch r="E58"/>
    <cellWatch r="D56"/>
    <cellWatch r="D57"/>
    <cellWatch r="E128"/>
    <cellWatch r="E127"/>
    <cellWatch r="N105"/>
    <cellWatch r="E109"/>
    <cellWatch r="H104"/>
    <cellWatch r="E126"/>
    <cellWatch r="E129"/>
    <cellWatch r="E117"/>
    <cellWatch r="E125"/>
    <cellWatch r="G110"/>
    <cellWatch r="G109"/>
    <cellWatch r="G108"/>
    <cellWatch r="G12"/>
    <cellWatch r="I13"/>
    <cellWatch r="G61"/>
    <cellWatch r="G62"/>
    <cellWatch r="K2"/>
    <cellWatch r="G4"/>
    <cellWatch r="G3"/>
    <cellWatch r="I12"/>
    <cellWatch r="G55"/>
    <cellWatch r="G60"/>
    <cellWatch r="I11"/>
    <cellWatch r="K108"/>
    <cellWatch r="O110"/>
    <cellWatch r="K109"/>
    <cellWatch r="G122"/>
    <cellWatch r="G130"/>
    <cellWatch r="I109"/>
    <cellWatch r="M108"/>
    <cellWatch r="I114"/>
    <cellWatch r="I113"/>
    <cellWatch r="I123"/>
    <cellWatch r="I122"/>
    <cellWatch r="I131"/>
    <cellWatch r="I130"/>
    <cellWatch r="I121"/>
    <cellWatch r="G68"/>
    <cellWatch r="G69"/>
    <cellWatch r="V19"/>
    <cellWatch r="V17"/>
    <cellWatch r="V15"/>
    <cellWatch r="V14"/>
    <cellWatch r="V13"/>
    <cellWatch r="V16"/>
    <cellWatch r="M2"/>
    <cellWatch r="V20"/>
    <cellWatch r="G57"/>
    <cellWatch r="E63"/>
    <cellWatch r="E64"/>
    <cellWatch r="K110"/>
    <cellWatch r="O112"/>
    <cellWatch r="O115"/>
    <cellWatch r="I111"/>
    <cellWatch r="M110"/>
    <cellWatch r="I132"/>
    <cellWatch r="S49"/>
    <cellWatch r="G70"/>
    <cellWatch r="T49"/>
    <cellWatch r="V18"/>
    <cellWatch r="V21"/>
    <cellWatch r="S26"/>
    <cellWatch r="G50"/>
    <cellWatch r="G49"/>
    <cellWatch r="I50"/>
    <cellWatch r="I49"/>
    <cellWatch r="I58"/>
    <cellWatch r="I57"/>
    <cellWatch r="I48"/>
    <cellWatch r="G48"/>
    <cellWatch r="G51"/>
    <cellWatch r="G59"/>
    <cellWatch r="T74"/>
    <cellWatch r="G53"/>
    <cellWatch r="G52"/>
    <cellWatch r="G96"/>
    <cellWatch r="G56"/>
    <cellWatch r="S74"/>
    <cellWatch r="G47"/>
    <cellWatch r="I47"/>
    <cellWatch r="I56"/>
    <cellWatch r="I55"/>
    <cellWatch r="I46"/>
    <cellWatch r="G97"/>
    <cellWatch r="G46"/>
    <cellWatch r="G54"/>
    <cellWatch r="I52"/>
    <cellWatch r="I51"/>
    <cellWatch r="T68"/>
    <cellWatch r="G90"/>
    <cellWatch r="S68"/>
    <cellWatch r="E36"/>
    <cellWatch r="E35"/>
    <cellWatch r="E37"/>
    <cellWatch r="E50"/>
    <cellWatch r="E49"/>
    <cellWatch r="H50"/>
    <cellWatch r="H49"/>
    <cellWatch r="H58"/>
    <cellWatch r="H57"/>
    <cellWatch r="H48"/>
    <cellWatch r="E48"/>
    <cellWatch r="E59"/>
    <cellWatch r="E39"/>
    <cellWatch r="E38"/>
    <cellWatch r="E96"/>
    <cellWatch r="R74"/>
    <cellWatch r="E34"/>
    <cellWatch r="E47"/>
    <cellWatch r="H47"/>
    <cellWatch r="H56"/>
    <cellWatch r="H55"/>
    <cellWatch r="H46"/>
    <cellWatch r="E97"/>
    <cellWatch r="I59"/>
    <cellWatch r="T75"/>
    <cellWatch r="S75"/>
    <cellWatch r="G98"/>
    <cellWatch r="G144"/>
    <cellWatch r="G145"/>
    <cellWatch r="G152"/>
    <cellWatch r="G151"/>
    <cellWatch r="G153"/>
    <cellWatch r="G143"/>
    <cellWatch r="K143"/>
    <cellWatch r="G148"/>
    <cellWatch r="G147"/>
    <cellWatch r="G146"/>
    <cellWatch r="G160"/>
    <cellWatch r="G159"/>
    <cellWatch r="G168"/>
    <cellWatch r="G167"/>
    <cellWatch r="O145"/>
    <cellWatch r="O148"/>
    <cellWatch r="G149"/>
    <cellWatch r="G156"/>
    <cellWatch r="G155"/>
    <cellWatch r="G164"/>
    <cellWatch r="G163"/>
    <cellWatch r="K144"/>
    <cellWatch r="G150"/>
    <cellWatch r="G158"/>
    <cellWatch r="G166"/>
    <cellWatch r="G161"/>
    <cellWatch r="G169"/>
    <cellWatch r="G157"/>
    <cellWatch r="G165"/>
    <cellWatch r="I144"/>
    <cellWatch r="I147"/>
    <cellWatch r="I152"/>
    <cellWatch r="I151"/>
    <cellWatch r="M143"/>
    <cellWatch r="I150"/>
    <cellWatch r="I149"/>
    <cellWatch r="I148"/>
    <cellWatch r="I158"/>
    <cellWatch r="I157"/>
    <cellWatch r="I166"/>
    <cellWatch r="I165"/>
    <cellWatch r="I156"/>
    <cellWatch r="S73"/>
    <cellWatch r="G95"/>
    <cellWatch r="T73"/>
    <cellWatch r="I53"/>
    <cellWatch r="I61"/>
    <cellWatch r="I60"/>
    <cellWatch r="S82"/>
    <cellWatch r="T82"/>
    <cellWatch r="T83"/>
    <cellWatch r="S83"/>
    <cellWatch r="S76"/>
    <cellWatch r="D35"/>
    <cellWatch r="D34"/>
    <cellWatch r="D36"/>
    <cellWatch r="D49"/>
    <cellWatch r="D48"/>
    <cellWatch r="D55"/>
    <cellWatch r="D47"/>
    <cellWatch r="R70"/>
    <cellWatch r="D38"/>
    <cellWatch r="D37"/>
    <cellWatch r="E92"/>
    <cellWatch r="Q70"/>
    <cellWatch r="D46"/>
    <cellWatch r="D54"/>
    <cellWatch r="E93"/>
    <cellWatch r="I2"/>
    <cellWatch r="D39"/>
    <cellWatch r="D53"/>
    <cellWatch r="R65"/>
    <cellWatch r="D86"/>
    <cellWatch r="Q65"/>
    <cellWatch r="D58"/>
    <cellWatch r="R71"/>
    <cellWatch r="Q71"/>
    <cellWatch r="E94"/>
    <cellWatch r="C35"/>
    <cellWatch r="C34"/>
    <cellWatch r="C36"/>
    <cellWatch r="C49"/>
    <cellWatch r="C48"/>
    <cellWatch r="C56"/>
    <cellWatch r="C55"/>
    <cellWatch r="C47"/>
    <cellWatch r="C50"/>
    <cellWatch r="C57"/>
    <cellWatch r="C38"/>
    <cellWatch r="C37"/>
    <cellWatch r="C52"/>
    <cellWatch r="C51"/>
    <cellWatch r="D92"/>
    <cellWatch r="P70"/>
    <cellWatch r="C46"/>
    <cellWatch r="C54"/>
    <cellWatch r="E46"/>
    <cellWatch r="D93"/>
    <cellWatch r="E140"/>
    <cellWatch r="E141"/>
    <cellWatch r="E148"/>
    <cellWatch r="E147"/>
    <cellWatch r="E149"/>
    <cellWatch r="E139"/>
    <cellWatch r="I139"/>
    <cellWatch r="E144"/>
    <cellWatch r="E143"/>
    <cellWatch r="E142"/>
    <cellWatch r="E156"/>
    <cellWatch r="E155"/>
    <cellWatch r="E164"/>
    <cellWatch r="E163"/>
    <cellWatch r="M141"/>
    <cellWatch r="M144"/>
    <cellWatch r="E145"/>
    <cellWatch r="E152"/>
    <cellWatch r="E151"/>
    <cellWatch r="E160"/>
    <cellWatch r="E159"/>
    <cellWatch r="I140"/>
    <cellWatch r="E146"/>
    <cellWatch r="E154"/>
    <cellWatch r="E162"/>
    <cellWatch r="E157"/>
    <cellWatch r="E165"/>
    <cellWatch r="E153"/>
    <cellWatch r="E161"/>
    <cellWatch r="H140"/>
    <cellWatch r="H143"/>
    <cellWatch r="H148"/>
    <cellWatch r="H147"/>
    <cellWatch r="K139"/>
    <cellWatch r="H146"/>
    <cellWatch r="H145"/>
    <cellWatch r="H144"/>
    <cellWatch r="H154"/>
    <cellWatch r="H153"/>
    <cellWatch r="H162"/>
    <cellWatch r="H161"/>
    <cellWatch r="H152"/>
    <cellWatch r="D60"/>
    <cellWatch r="D61"/>
    <cellWatch r="H52"/>
    <cellWatch r="H51"/>
    <cellWatch r="H53"/>
    <cellWatch r="H60"/>
    <cellWatch r="H59"/>
    <cellWatch r="H68"/>
    <cellWatch r="H67"/>
    <cellWatch r="V73"/>
    <cellWatch r="K50"/>
    <cellWatch r="K49"/>
    <cellWatch r="K58"/>
    <cellWatch r="K57"/>
    <cellWatch r="K48"/>
    <cellWatch r="K47"/>
    <cellWatch r="K56"/>
    <cellWatch r="K55"/>
    <cellWatch r="K46"/>
    <cellWatch r="W73"/>
    <cellWatch r="K51"/>
    <cellWatch r="K59"/>
    <cellWatch r="W74"/>
    <cellWatch r="V74"/>
    <cellWatch r="K53"/>
    <cellWatch r="K52"/>
    <cellWatch r="K61"/>
    <cellWatch r="K60"/>
    <cellWatch r="O109"/>
    <cellWatch r="M107"/>
    <cellWatch r="I129"/>
    <cellWatch r="G67"/>
    <cellWatch r="S10"/>
    <cellWatch r="S7"/>
    <cellWatch r="S6"/>
    <cellWatch r="S5"/>
    <cellWatch r="S9"/>
    <cellWatch r="R5"/>
    <cellWatch r="S4"/>
    <cellWatch r="S8"/>
    <cellWatch r="T19"/>
    <cellWatch r="T17"/>
    <cellWatch r="Q3"/>
    <cellWatch r="T20"/>
    <cellWatch r="O111"/>
    <cellWatch r="O114"/>
    <cellWatch r="I110"/>
    <cellWatch r="Q5"/>
    <cellWatch r="Q4"/>
    <cellWatch r="Q8"/>
    <cellWatch r="R40"/>
    <cellWatch r="Q7"/>
    <cellWatch r="P15"/>
    <cellWatch r="P11"/>
    <cellWatch r="P10"/>
    <cellWatch r="P9"/>
    <cellWatch r="P13"/>
    <cellWatch r="D59"/>
    <cellWatch r="M18"/>
    <cellWatch r="I105"/>
    <cellWatch r="E130"/>
    <cellWatch r="I106"/>
    <cellWatch r="E131"/>
    <cellWatch r="K105"/>
    <cellWatch r="H119"/>
    <cellWatch r="H128"/>
    <cellWatch r="H127"/>
    <cellWatch r="H118"/>
    <cellWatch r="T18"/>
    <cellWatch r="I103"/>
    <cellWatch r="M105"/>
    <cellWatch r="I104"/>
    <cellWatch r="K103"/>
    <cellWatch r="H126"/>
    <cellWatch r="T12"/>
    <cellWatch r="P18"/>
    <cellWatch r="V46"/>
    <cellWatch r="V47"/>
    <cellWatch r="W18"/>
    <cellWatch r="W17"/>
    <cellWatch r="W15"/>
    <cellWatch r="W14"/>
    <cellWatch r="W13"/>
    <cellWatch r="W16"/>
    <cellWatch r="P12"/>
    <cellWatch r="W19"/>
    <cellWatch r="T23"/>
    <cellWatch r="K3"/>
    <cellWatch r="S25"/>
    <cellWatch r="I3"/>
    <cellWatch r="M21"/>
    <cellWatch r="M3"/>
    <cellWatch r="T21"/>
    <cellWatch r="P111"/>
    <cellWatch r="P114"/>
    <cellWatch r="N109"/>
    <cellWatch r="P22"/>
    <cellWatch r="V48"/>
    <cellWatch r="V49"/>
    <cellWatch r="W20"/>
    <cellWatch r="N3"/>
    <cellWatch r="W21"/>
    <cellWatch r="T25"/>
    <cellWatch r="H3"/>
    <cellWatch r="D4"/>
    <cellWatch r="H4"/>
    <cellWatch r="D3"/>
    <cellWatch r="I4"/>
    <cellWatch r="C4"/>
    <cellWatch r="C7"/>
    <cellWatch r="C8"/>
    <cellWatch r="C9"/>
    <cellWatch r="C6"/>
    <cellWatch r="C11"/>
    <cellWatch r="C3"/>
    <cellWatch r="C10"/>
    <cellWatch r="D32"/>
    <cellWatch r="D33"/>
    <cellWatch r="D31"/>
    <cellWatch r="D43"/>
    <cellWatch r="D42"/>
    <cellWatch r="D44"/>
    <cellWatch r="G45"/>
    <cellWatch r="G44"/>
    <cellWatch r="G43"/>
    <cellWatch r="J4"/>
    <cellWatch r="J3"/>
    <cellWatch r="G2"/>
    <cellWatch r="C30"/>
    <cellWatch r="C41"/>
    <cellWatch r="C32"/>
    <cellWatch r="C31"/>
    <cellWatch r="C43"/>
    <cellWatch r="C42"/>
    <cellWatch r="C33"/>
    <cellWatch r="C44"/>
    <cellWatch r="C39"/>
    <cellWatch r="E30"/>
    <cellWatch r="E31"/>
    <cellWatch r="H41"/>
    <cellWatch r="E33"/>
    <cellWatch r="E32"/>
    <cellWatch r="Q110"/>
    <cellWatch r="Q113"/>
    <cellWatch r="O108"/>
    <cellWatch r="M28"/>
    <cellWatch r="M27"/>
    <cellWatch r="M26"/>
    <cellWatch r="T11"/>
    <cellWatch r="M25"/>
    <cellWatch r="M24"/>
    <cellWatch r="O2"/>
    <cellWatch r="Q109"/>
    <cellWatch r="Q112"/>
    <cellWatch r="O107"/>
    <cellWatch r="T40"/>
    <cellWatch r="T41"/>
    <cellWatch r="O105"/>
    <cellWatch r="M103"/>
    <cellWatch r="I62"/>
    <cellWatch r="K12"/>
    <cellWatch r="W12"/>
    <cellWatch r="I63"/>
    <cellWatch r="J35"/>
    <cellWatch r="H61"/>
    <cellWatch r="J34"/>
    <cellWatch r="H62"/>
    <cellWatch r="I128"/>
    <cellWatch r="K117"/>
    <cellWatch r="K116"/>
    <cellWatch r="K115"/>
    <cellWatch r="K114"/>
    <cellWatch r="K113"/>
    <cellWatch r="K123"/>
    <cellWatch r="K122"/>
    <cellWatch r="K131"/>
    <cellWatch r="K130"/>
    <cellWatch r="K121"/>
    <cellWatch r="W47"/>
    <cellWatch r="I68"/>
    <cellWatch r="I69"/>
    <cellWatch r="X47"/>
    <cellWatch r="X48"/>
    <cellWatch r="W48"/>
    <cellWatch r="Y20"/>
    <cellWatch r="Y19"/>
    <cellWatch r="Y15"/>
    <cellWatch r="Y14"/>
    <cellWatch r="Y13"/>
    <cellWatch r="Y18"/>
    <cellWatch r="Y21"/>
    <cellWatch r="J37"/>
    <cellWatch r="J36"/>
    <cellWatch r="W26"/>
    <cellWatch r="X72"/>
    <cellWatch r="I94"/>
    <cellWatch r="I54"/>
    <cellWatch r="W72"/>
    <cellWatch r="I45"/>
    <cellWatch r="K45"/>
    <cellWatch r="K54"/>
    <cellWatch r="K44"/>
    <cellWatch r="I95"/>
    <cellWatch r="I44"/>
    <cellWatch r="X66"/>
    <cellWatch r="I88"/>
    <cellWatch r="W66"/>
    <cellWatch r="J48"/>
    <cellWatch r="J47"/>
    <cellWatch r="J56"/>
    <cellWatch r="J55"/>
    <cellWatch r="J46"/>
    <cellWatch r="H94"/>
    <cellWatch r="H54"/>
    <cellWatch r="V72"/>
    <cellWatch r="H45"/>
    <cellWatch r="J45"/>
    <cellWatch r="J54"/>
    <cellWatch r="J53"/>
    <cellWatch r="J44"/>
    <cellWatch r="H95"/>
    <cellWatch r="X73"/>
    <cellWatch r="I96"/>
    <cellWatch r="I142"/>
    <cellWatch r="I143"/>
    <cellWatch r="I141"/>
    <cellWatch r="I146"/>
    <cellWatch r="I145"/>
    <cellWatch r="Q143"/>
    <cellWatch r="Q146"/>
    <cellWatch r="I154"/>
    <cellWatch r="I153"/>
    <cellWatch r="I162"/>
    <cellWatch r="I161"/>
    <cellWatch r="M142"/>
    <cellWatch r="I164"/>
    <cellWatch r="I159"/>
    <cellWatch r="I167"/>
    <cellWatch r="I155"/>
    <cellWatch r="I163"/>
    <cellWatch r="K142"/>
    <cellWatch r="K145"/>
    <cellWatch r="K150"/>
    <cellWatch r="K149"/>
    <cellWatch r="O141"/>
    <cellWatch r="K148"/>
    <cellWatch r="K147"/>
    <cellWatch r="K146"/>
    <cellWatch r="K156"/>
    <cellWatch r="K155"/>
    <cellWatch r="K164"/>
    <cellWatch r="K163"/>
    <cellWatch r="K154"/>
    <cellWatch r="W71"/>
    <cellWatch r="I93"/>
    <cellWatch r="X71"/>
    <cellWatch r="W80"/>
    <cellWatch r="I101"/>
    <cellWatch r="I102"/>
    <cellWatch r="X80"/>
    <cellWatch r="X81"/>
    <cellWatch r="W81"/>
    <cellWatch r="W46"/>
    <cellWatch r="V68"/>
    <cellWatch r="H90"/>
    <cellWatch r="H91"/>
    <cellWatch r="V63"/>
    <cellWatch r="D84"/>
    <cellWatch r="S63"/>
    <cellWatch r="V69"/>
    <cellWatch r="S69"/>
    <cellWatch r="H92"/>
    <cellWatch r="C53"/>
    <cellWatch r="C45"/>
    <cellWatch r="D90"/>
    <cellWatch r="R68"/>
    <cellWatch r="H44"/>
    <cellWatch r="D91"/>
    <cellWatch r="H138"/>
    <cellWatch r="H139"/>
    <cellWatch r="H137"/>
    <cellWatch r="K137"/>
    <cellWatch r="H142"/>
    <cellWatch r="H141"/>
    <cellWatch r="O139"/>
    <cellWatch r="O142"/>
    <cellWatch r="H150"/>
    <cellWatch r="H149"/>
    <cellWatch r="H158"/>
    <cellWatch r="H157"/>
    <cellWatch r="K138"/>
    <cellWatch r="H160"/>
    <cellWatch r="H155"/>
    <cellWatch r="H163"/>
    <cellWatch r="H151"/>
    <cellWatch r="H159"/>
    <cellWatch r="J138"/>
    <cellWatch r="J141"/>
    <cellWatch r="J146"/>
    <cellWatch r="J145"/>
    <cellWatch r="M137"/>
    <cellWatch r="J144"/>
    <cellWatch r="J143"/>
    <cellWatch r="J142"/>
    <cellWatch r="J152"/>
    <cellWatch r="J151"/>
    <cellWatch r="J160"/>
    <cellWatch r="J159"/>
    <cellWatch r="J150"/>
    <cellWatch r="J50"/>
    <cellWatch r="J49"/>
    <cellWatch r="J51"/>
    <cellWatch r="J58"/>
    <cellWatch r="J57"/>
    <cellWatch r="J66"/>
    <cellWatch r="J65"/>
    <cellWatch r="Y71"/>
    <cellWatch r="M48"/>
    <cellWatch r="M47"/>
    <cellWatch r="M56"/>
    <cellWatch r="M55"/>
    <cellWatch r="M46"/>
    <cellWatch r="M45"/>
    <cellWatch r="M54"/>
    <cellWatch r="M53"/>
    <cellWatch r="M44"/>
    <cellWatch r="Z71"/>
    <cellWatch r="M49"/>
    <cellWatch r="M57"/>
    <cellWatch r="Z72"/>
    <cellWatch r="Y72"/>
    <cellWatch r="M51"/>
    <cellWatch r="M50"/>
    <cellWatch r="M59"/>
    <cellWatch r="M58"/>
    <cellWatch r="Q107"/>
    <cellWatch r="M106"/>
    <cellWatch r="I127"/>
    <cellWatch r="K106"/>
    <cellWatch r="K120"/>
    <cellWatch r="K119"/>
    <cellWatch r="K128"/>
    <cellWatch r="K127"/>
    <cellWatch r="K118"/>
    <cellWatch r="W44"/>
    <cellWatch r="I65"/>
    <cellWatch r="I66"/>
    <cellWatch r="X44"/>
    <cellWatch r="X45"/>
    <cellWatch r="W45"/>
    <cellWatch r="Y17"/>
    <cellWatch r="Y16"/>
    <cellWatch r="W23"/>
    <cellWatch r="Q108"/>
    <cellWatch r="Q111"/>
    <cellWatch r="O106"/>
    <cellWatch r="K129"/>
    <cellWatch r="I67"/>
    <cellWatch r="X46"/>
    <cellWatch r="W10"/>
    <cellWatch r="W7"/>
    <cellWatch r="W6"/>
    <cellWatch r="W5"/>
    <cellWatch r="W9"/>
    <cellWatch r="V12"/>
    <cellWatch r="V10"/>
    <cellWatch r="V7"/>
    <cellWatch r="V6"/>
    <cellWatch r="V5"/>
    <cellWatch r="V9"/>
    <cellWatch r="W4"/>
    <cellWatch r="W8"/>
    <cellWatch r="X19"/>
    <cellWatch r="X17"/>
    <cellWatch r="X15"/>
    <cellWatch r="X14"/>
    <cellWatch r="X13"/>
    <cellWatch r="X16"/>
    <cellWatch r="S3"/>
    <cellWatch r="W11"/>
    <cellWatch r="V11"/>
    <cellWatch r="V39"/>
    <cellWatch r="S39"/>
    <cellWatch r="R4"/>
    <cellWatch r="R8"/>
    <cellWatch r="H105"/>
    <cellWatch r="K104"/>
    <cellWatch r="J104"/>
    <cellWatch r="J107"/>
    <cellWatch r="J112"/>
    <cellWatch r="J111"/>
    <cellWatch r="J110"/>
    <cellWatch r="J109"/>
    <cellWatch r="J108"/>
    <cellWatch r="J118"/>
    <cellWatch r="J117"/>
    <cellWatch r="J126"/>
    <cellWatch r="J125"/>
    <cellWatch r="J116"/>
    <cellWatch r="X18"/>
    <cellWatch r="H102"/>
    <cellWatch r="H101"/>
    <cellWatch r="K101"/>
    <cellWatch r="O103"/>
    <cellWatch r="K102"/>
    <cellWatch r="J105"/>
    <cellWatch r="M101"/>
    <cellWatch r="J106"/>
    <cellWatch r="J115"/>
    <cellWatch r="J124"/>
    <cellWatch r="J123"/>
    <cellWatch r="J114"/>
    <cellWatch r="J41"/>
    <cellWatch r="X12"/>
    <cellWatch r="R107"/>
    <cellWatch r="R110"/>
    <cellWatch r="P105"/>
    <cellWatch r="Y44"/>
    <cellWatch r="Y45"/>
    <cellWatch r="Z18"/>
    <cellWatch r="Z17"/>
    <cellWatch r="Z15"/>
    <cellWatch r="Z14"/>
    <cellWatch r="Z13"/>
    <cellWatch r="Z16"/>
    <cellWatch r="P2"/>
    <cellWatch r="Z19"/>
    <cellWatch r="X23"/>
    <cellWatch r="W25"/>
    <cellWatch r="V41"/>
    <cellWatch r="O3"/>
    <cellWatch r="X21"/>
    <cellWatch r="R109"/>
    <cellWatch r="R112"/>
    <cellWatch r="P107"/>
    <cellWatch r="Y46"/>
    <cellWatch r="Y47"/>
    <cellWatch r="Z20"/>
    <cellWatch r="P3"/>
    <cellWatch r="Z21"/>
    <cellWatch r="X25"/>
    <cellWatch r="N21"/>
    <cellWatch r="F135"/>
    <cellWatch r="N112"/>
    <cellWatch r="N115"/>
    <cellWatch r="F136"/>
    <cellWatch r="L110"/>
    <cellWatch r="H133"/>
    <cellWatch r="H132"/>
    <cellWatch r="N19"/>
    <cellWatch r="N22"/>
    <cellWatch r="F39"/>
    <cellWatch r="F40"/>
    <cellWatch r="N20"/>
    <cellWatch r="R49"/>
    <cellWatch r="F70"/>
    <cellWatch r="F71"/>
    <cellWatch r="R50"/>
    <cellWatch r="J24"/>
    <cellWatch r="J39"/>
    <cellWatch r="J38"/>
    <cellWatch r="R26"/>
    <cellWatch r="R43"/>
    <cellWatch r="F50"/>
    <cellWatch r="F48"/>
    <cellWatch r="F51"/>
    <cellWatch r="F53"/>
    <cellWatch r="F52"/>
    <cellWatch r="F96"/>
    <cellWatch r="F47"/>
    <cellWatch r="F97"/>
    <cellWatch r="F46"/>
    <cellWatch r="F90"/>
    <cellWatch r="Q74"/>
    <cellWatch r="R75"/>
    <cellWatch r="F98"/>
    <cellWatch r="F144"/>
    <cellWatch r="F145"/>
    <cellWatch r="F152"/>
    <cellWatch r="F151"/>
    <cellWatch r="F153"/>
    <cellWatch r="F143"/>
    <cellWatch r="F148"/>
    <cellWatch r="F147"/>
    <cellWatch r="F146"/>
    <cellWatch r="F160"/>
    <cellWatch r="F159"/>
    <cellWatch r="F168"/>
    <cellWatch r="F167"/>
    <cellWatch r="N145"/>
    <cellWatch r="N148"/>
    <cellWatch r="F149"/>
    <cellWatch r="F156"/>
    <cellWatch r="F155"/>
    <cellWatch r="F164"/>
    <cellWatch r="F163"/>
    <cellWatch r="F150"/>
    <cellWatch r="F158"/>
    <cellWatch r="F166"/>
    <cellWatch r="F161"/>
    <cellWatch r="F169"/>
    <cellWatch r="F157"/>
    <cellWatch r="F165"/>
    <cellWatch r="L143"/>
    <cellWatch r="H166"/>
    <cellWatch r="H165"/>
    <cellWatch r="H156"/>
    <cellWatch r="R73"/>
    <cellWatch r="F95"/>
    <cellWatch r="R82"/>
    <cellWatch r="R83"/>
    <cellWatch r="R48"/>
    <cellWatch r="R76"/>
    <cellWatch r="P65"/>
    <cellWatch r="P71"/>
    <cellWatch r="O70"/>
    <cellWatch r="L141"/>
    <cellWatch r="L144"/>
    <cellWatch r="G140"/>
    <cellWatch r="J139"/>
    <cellWatch r="G154"/>
    <cellWatch r="G162"/>
    <cellWatch r="U73"/>
    <cellWatch r="J59"/>
    <cellWatch r="U74"/>
    <cellWatch r="J52"/>
    <cellWatch r="J61"/>
    <cellWatch r="J60"/>
    <cellWatch r="R46"/>
    <cellWatch r="R47"/>
    <cellWatch r="R23"/>
    <cellWatch r="N110"/>
    <cellWatch r="N113"/>
    <cellWatch r="N111"/>
    <cellWatch r="N114"/>
    <cellWatch r="O9"/>
    <cellWatch r="L19"/>
    <cellWatch r="L105"/>
    <cellWatch r="R25"/>
    <cellWatch r="L20"/>
    <cellWatch r="L3"/>
    <cellWatch r="B23"/>
    <cellWatch r="B22"/>
    <cellWatch r="B20"/>
    <cellWatch r="N27"/>
    <cellWatch r="N26"/>
    <cellWatch r="B19"/>
    <cellWatch r="B21"/>
    <cellWatch r="N25"/>
    <cellWatch r="N24"/>
    <cellWatch r="F66"/>
    <cellWatch r="B18"/>
    <cellWatch r="P23"/>
    <cellWatch r="E65"/>
    <cellWatch r="P43"/>
    <cellWatch r="E66"/>
    <cellWatch r="N28"/>
    <cellWatch r="N23"/>
    <cellWatch r="R44"/>
    <cellWatch r="F137"/>
    <cellWatch r="N117"/>
    <cellWatch r="J113"/>
    <cellWatch r="F138"/>
    <cellWatch r="L112"/>
    <cellWatch r="H135"/>
    <cellWatch r="H134"/>
    <cellWatch r="R51"/>
    <cellWatch r="F72"/>
    <cellWatch r="F73"/>
    <cellWatch r="S52"/>
    <cellWatch r="R52"/>
    <cellWatch r="P27"/>
    <cellWatch r="P26"/>
    <cellWatch r="P25"/>
    <cellWatch r="P24"/>
    <cellWatch r="P28"/>
    <cellWatch r="U43"/>
    <cellWatch r="P42"/>
    <cellWatch r="N116"/>
    <cellWatch r="L111"/>
    <cellWatch r="L48"/>
    <cellWatch r="D40"/>
    <cellWatch r="D30"/>
    <cellWatch r="D41"/>
    <cellWatch r="C40"/>
    <cellWatch r="E132"/>
    <cellWatch r="E133"/>
    <cellWatch r="X3"/>
    <cellWatch r="P44"/>
    <cellWatch r="E67"/>
    <cellWatch r="S45"/>
    <cellWatch r="R45"/>
    <cellWatch r="N118"/>
    <cellWatch r="F139"/>
    <cellWatch r="L113"/>
    <cellWatch r="H136"/>
    <cellWatch r="F74"/>
    <cellWatch r="S53"/>
    <cellWatch r="R53"/>
    <cellWatch r="D62"/>
    <cellWatch r="D63"/>
    <cellWatch r="E134"/>
    <cellWatch r="L114"/>
    <cellWatch r="E135"/>
    <cellWatch r="T44"/>
    <cellWatch r="J12"/>
    <cellWatch r="U12"/>
    <cellWatch r="H63"/>
    <cellWatch r="J122"/>
    <cellWatch r="J131"/>
    <cellWatch r="J130"/>
    <cellWatch r="J121"/>
    <cellWatch r="U47"/>
    <cellWatch r="H69"/>
    <cellWatch r="U48"/>
    <cellWatch r="L38"/>
    <cellWatch r="U26"/>
    <cellWatch r="U72"/>
    <cellWatch r="V66"/>
    <cellWatch r="H88"/>
    <cellWatch r="U66"/>
    <cellWatch r="G94"/>
    <cellWatch r="T72"/>
    <cellWatch r="H96"/>
    <cellWatch r="P143"/>
    <cellWatch r="P146"/>
    <cellWatch r="L142"/>
    <cellWatch r="H164"/>
    <cellWatch r="H167"/>
    <cellWatch r="J149"/>
    <cellWatch r="N141"/>
    <cellWatch r="J148"/>
    <cellWatch r="J147"/>
    <cellWatch r="J156"/>
    <cellWatch r="J155"/>
    <cellWatch r="J164"/>
    <cellWatch r="J163"/>
    <cellWatch r="J154"/>
    <cellWatch r="U71"/>
    <cellWatch r="H93"/>
    <cellWatch r="V71"/>
    <cellWatch r="U80"/>
    <cellWatch r="V80"/>
    <cellWatch r="V81"/>
    <cellWatch r="U81"/>
    <cellWatch r="U46"/>
    <cellWatch r="G91"/>
    <cellWatch r="T63"/>
    <cellWatch r="R63"/>
    <cellWatch r="T69"/>
    <cellWatch r="R69"/>
    <cellWatch r="G92"/>
    <cellWatch r="Q68"/>
    <cellWatch r="G138"/>
    <cellWatch r="G139"/>
    <cellWatch r="J137"/>
    <cellWatch r="G142"/>
    <cellWatch r="G141"/>
    <cellWatch r="N139"/>
    <cellWatch r="N142"/>
    <cellWatch r="I138"/>
    <cellWatch r="L137"/>
    <cellWatch r="I160"/>
    <cellWatch r="L47"/>
    <cellWatch r="L56"/>
    <cellWatch r="L55"/>
    <cellWatch r="L46"/>
    <cellWatch r="L45"/>
    <cellWatch r="L54"/>
    <cellWatch r="L53"/>
    <cellWatch r="L44"/>
    <cellWatch r="L49"/>
    <cellWatch r="L57"/>
    <cellWatch r="L51"/>
    <cellWatch r="L50"/>
    <cellWatch r="L59"/>
    <cellWatch r="L58"/>
    <cellWatch r="L106"/>
    <cellWatch r="J120"/>
    <cellWatch r="J119"/>
    <cellWatch r="J128"/>
    <cellWatch r="J127"/>
    <cellWatch r="U44"/>
    <cellWatch r="H65"/>
    <cellWatch r="H66"/>
    <cellWatch r="V44"/>
    <cellWatch r="V45"/>
    <cellWatch r="U45"/>
    <cellWatch r="P108"/>
    <cellWatch r="N106"/>
    <cellWatch r="J129"/>
    <cellWatch r="U10"/>
    <cellWatch r="U7"/>
    <cellWatch r="U6"/>
    <cellWatch r="U5"/>
    <cellWatch r="U9"/>
    <cellWatch r="T10"/>
    <cellWatch r="T7"/>
    <cellWatch r="T6"/>
    <cellWatch r="T5"/>
    <cellWatch r="T9"/>
    <cellWatch r="U4"/>
    <cellWatch r="U8"/>
    <cellWatch r="R3"/>
    <cellWatch r="U11"/>
    <cellWatch r="T39"/>
    <cellWatch r="R39"/>
    <cellWatch r="G101"/>
    <cellWatch r="J101"/>
    <cellWatch r="N103"/>
    <cellWatch r="L101"/>
    <cellWatch r="I41"/>
    <cellWatch r="V23"/>
    <cellWatch r="U25"/>
    <cellWatch r="R41"/>
    <cellWatch r="V25"/>
    <cellWatch r="M10"/>
    <cellWatch r="L5"/>
    <cellWatch r="W42"/>
    <cellWatch r="V22"/>
    <cellWatch r="E42"/>
    <cellWatch r="T76"/>
    <cellWatch r="O146"/>
    <cellWatch r="O149"/>
    <cellWatch r="G170"/>
    <cellWatch r="T84"/>
    <cellWatch r="S84"/>
    <cellWatch r="S77"/>
    <cellWatch r="R66"/>
    <cellWatch r="D87"/>
    <cellWatch r="Q66"/>
    <cellWatch r="R72"/>
    <cellWatch r="Q72"/>
    <cellWatch r="E95"/>
    <cellWatch r="C58"/>
    <cellWatch r="D94"/>
    <cellWatch r="E150"/>
    <cellWatch r="M145"/>
    <cellWatch r="E158"/>
    <cellWatch r="E166"/>
    <cellWatch r="K140"/>
    <cellWatch r="W75"/>
    <cellWatch r="V75"/>
    <cellWatch r="K62"/>
    <cellWatch r="S24"/>
    <cellWatch r="N10"/>
    <cellWatch r="T24"/>
    <cellWatch r="T22"/>
    <cellWatch r="P115"/>
    <cellWatch r="V50"/>
    <cellWatch r="W22"/>
    <cellWatch r="T26"/>
    <cellWatch r="O10"/>
    <cellWatch r="Q114"/>
    <cellWatch r="M104"/>
    <cellWatch r="X42"/>
    <cellWatch r="I64"/>
    <cellWatch r="I135"/>
    <cellWatch r="K124"/>
    <cellWatch r="K132"/>
    <cellWatch r="Q23"/>
    <cellWatch r="I70"/>
    <cellWatch r="X49"/>
    <cellWatch r="W49"/>
    <cellWatch r="Y22"/>
    <cellWatch r="M39"/>
    <cellWatch r="W27"/>
    <cellWatch r="X67"/>
    <cellWatch r="I89"/>
    <cellWatch r="W67"/>
    <cellWatch r="X74"/>
    <cellWatch r="I97"/>
    <cellWatch r="Q144"/>
    <cellWatch r="Q147"/>
    <cellWatch r="I168"/>
    <cellWatch r="K151"/>
    <cellWatch r="K157"/>
    <cellWatch r="K165"/>
    <cellWatch r="X82"/>
    <cellWatch r="W82"/>
    <cellWatch r="V64"/>
    <cellWatch r="D85"/>
    <cellWatch r="S64"/>
    <cellWatch r="V70"/>
    <cellWatch r="S70"/>
    <cellWatch r="O140"/>
    <cellWatch r="O143"/>
    <cellWatch r="M138"/>
    <cellWatch r="J153"/>
    <cellWatch r="J161"/>
    <cellWatch r="J67"/>
    <cellWatch r="Z73"/>
    <cellWatch r="Y73"/>
    <cellWatch r="M52"/>
    <cellWatch r="M60"/>
    <cellWatch r="W24"/>
    <cellWatch r="V8"/>
    <cellWatch r="V40"/>
    <cellWatch r="O104"/>
    <cellWatch r="M102"/>
    <cellWatch r="R108"/>
    <cellWatch r="R111"/>
    <cellWatch r="P106"/>
    <cellWatch r="X24"/>
    <cellWatch r="X22"/>
    <cellWatch r="R113"/>
    <cellWatch r="Y48"/>
    <cellWatch r="Z22"/>
    <cellWatch r="X26"/>
    <cellWatch r="R24"/>
    <cellWatch r="L104"/>
    <cellWatch r="L4"/>
    <cellWatch r="M9"/>
    <cellWatch r="F43"/>
    <cellWatch r="F44"/>
    <cellWatch r="E43"/>
    <cellWatch r="E44"/>
    <cellWatch r="F42"/>
    <cellWatch r="F45"/>
    <cellWatch r="Q42"/>
    <cellWatch r="E45"/>
    <cellWatch r="M115"/>
    <cellWatch r="Q49"/>
    <cellWatch r="Q50"/>
    <cellWatch r="Q26"/>
    <cellWatch r="Q43"/>
    <cellWatch r="F41"/>
    <cellWatch r="H40"/>
    <cellWatch r="E41"/>
    <cellWatch r="P74"/>
    <cellWatch r="Q75"/>
    <cellWatch r="M148"/>
    <cellWatch r="Q73"/>
    <cellWatch r="F77"/>
    <cellWatch r="H43"/>
    <cellWatch r="H42"/>
    <cellWatch r="Q82"/>
    <cellWatch r="Q83"/>
    <cellWatch r="Q48"/>
    <cellWatch r="Q76"/>
    <cellWatch r="E74"/>
    <cellWatch r="E75"/>
    <cellWatch r="D68"/>
    <cellWatch r="O65"/>
    <cellWatch r="O71"/>
    <cellWatch r="E76"/>
    <cellWatch r="D74"/>
    <cellWatch r="N70"/>
    <cellWatch r="D75"/>
    <cellWatch r="K141"/>
    <cellWatch r="G42"/>
    <cellWatch r="Q46"/>
    <cellWatch r="Q47"/>
    <cellWatch r="M113"/>
    <cellWatch r="M114"/>
    <cellWatch r="N9"/>
    <cellWatch r="Q25"/>
  </cellWatche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0974C-EC37-415F-8CB1-31742E772473}">
  <dimension ref="B3:DW8"/>
  <sheetViews>
    <sheetView showGridLines="0" workbookViewId="0">
      <pane xSplit="2" ySplit="4" topLeftCell="C5" activePane="bottomRight" state="frozen"/>
      <selection pane="topRight" activeCell="C1" sqref="C1"/>
      <selection pane="bottomLeft" activeCell="A5" sqref="A5"/>
      <selection pane="bottomRight" activeCell="C5" sqref="C5"/>
    </sheetView>
  </sheetViews>
  <sheetFormatPr defaultRowHeight="15.75"/>
  <cols>
    <col min="2" max="2" width="14.25" bestFit="1" customWidth="1"/>
  </cols>
  <sheetData>
    <row r="3" spans="2:127">
      <c r="D3" s="270" t="s">
        <v>188</v>
      </c>
      <c r="E3" s="270"/>
      <c r="F3" s="270"/>
      <c r="G3" s="270"/>
      <c r="H3" s="270"/>
      <c r="I3" s="270"/>
      <c r="J3" s="270"/>
      <c r="K3" s="270"/>
      <c r="L3" s="270"/>
      <c r="M3" s="270"/>
      <c r="N3" s="270"/>
      <c r="O3" s="270"/>
      <c r="P3" s="271" t="s">
        <v>398</v>
      </c>
      <c r="Q3" s="271"/>
      <c r="R3" s="271"/>
      <c r="S3" s="271"/>
      <c r="T3" s="271"/>
      <c r="U3" s="271"/>
      <c r="V3" s="271"/>
      <c r="W3" s="271"/>
      <c r="X3" s="271"/>
      <c r="Y3" s="271"/>
      <c r="Z3" s="271"/>
      <c r="AA3" s="271"/>
      <c r="AB3" s="272" t="s">
        <v>197</v>
      </c>
      <c r="AC3" s="273"/>
      <c r="AD3" s="273"/>
      <c r="AE3" s="273"/>
      <c r="AF3" s="273"/>
      <c r="AG3" s="273"/>
      <c r="AH3" s="273"/>
      <c r="AI3" s="273"/>
      <c r="AJ3" s="273"/>
      <c r="AK3" s="273"/>
      <c r="AL3" s="273"/>
      <c r="AM3" s="273"/>
    </row>
    <row r="4" spans="2:127" ht="15.75" customHeight="1">
      <c r="B4" s="353"/>
      <c r="C4" s="354">
        <v>0</v>
      </c>
      <c r="D4" s="354">
        <v>1</v>
      </c>
      <c r="E4" s="354">
        <v>2</v>
      </c>
      <c r="F4" s="354">
        <v>3</v>
      </c>
      <c r="G4" s="354">
        <v>4</v>
      </c>
      <c r="H4" s="354">
        <v>5</v>
      </c>
      <c r="I4" s="354">
        <v>6</v>
      </c>
      <c r="J4" s="354">
        <v>7</v>
      </c>
      <c r="K4" s="354">
        <v>8</v>
      </c>
      <c r="L4" s="354">
        <v>9</v>
      </c>
      <c r="M4" s="354">
        <v>10</v>
      </c>
      <c r="N4" s="354">
        <v>11</v>
      </c>
      <c r="O4" s="354">
        <v>12</v>
      </c>
      <c r="P4" s="354">
        <v>13</v>
      </c>
      <c r="Q4" s="354">
        <v>14</v>
      </c>
      <c r="R4" s="354">
        <v>15</v>
      </c>
      <c r="S4" s="354">
        <v>16</v>
      </c>
      <c r="T4" s="354">
        <v>17</v>
      </c>
      <c r="U4" s="354">
        <v>18</v>
      </c>
      <c r="V4" s="354">
        <v>19</v>
      </c>
      <c r="W4" s="354">
        <v>20</v>
      </c>
      <c r="X4" s="354">
        <v>21</v>
      </c>
      <c r="Y4" s="354">
        <v>22</v>
      </c>
      <c r="Z4" s="354">
        <v>23</v>
      </c>
      <c r="AA4" s="354">
        <v>24</v>
      </c>
      <c r="AB4" s="354">
        <v>25</v>
      </c>
      <c r="AC4" s="354">
        <v>26</v>
      </c>
      <c r="AD4" s="354">
        <v>27</v>
      </c>
      <c r="AE4" s="354">
        <v>28</v>
      </c>
      <c r="AF4" s="354">
        <v>29</v>
      </c>
      <c r="AG4" s="354">
        <v>30</v>
      </c>
      <c r="AH4" s="354">
        <v>31</v>
      </c>
      <c r="AI4" s="354">
        <v>32</v>
      </c>
      <c r="AJ4" s="354">
        <v>33</v>
      </c>
      <c r="AK4" s="354">
        <v>34</v>
      </c>
      <c r="AL4" s="354">
        <v>35</v>
      </c>
      <c r="AM4" s="354">
        <v>36</v>
      </c>
      <c r="AN4" s="354">
        <v>37</v>
      </c>
      <c r="AO4" s="354">
        <v>38</v>
      </c>
      <c r="AP4" s="354">
        <v>39</v>
      </c>
      <c r="AQ4" s="354">
        <v>40</v>
      </c>
      <c r="AR4" s="354">
        <v>41</v>
      </c>
      <c r="AS4" s="354">
        <v>42</v>
      </c>
      <c r="AT4" s="354">
        <v>43</v>
      </c>
      <c r="AU4" s="354">
        <v>44</v>
      </c>
      <c r="AV4" s="354">
        <v>45</v>
      </c>
      <c r="AW4" s="354">
        <v>46</v>
      </c>
      <c r="AX4" s="354">
        <v>47</v>
      </c>
      <c r="AY4" s="354">
        <v>48</v>
      </c>
      <c r="AZ4" s="354">
        <v>49</v>
      </c>
      <c r="BA4" s="354">
        <v>50</v>
      </c>
      <c r="BB4" s="354">
        <v>51</v>
      </c>
      <c r="BC4" s="354">
        <v>52</v>
      </c>
      <c r="BD4" s="354">
        <v>53</v>
      </c>
      <c r="BE4" s="354">
        <v>54</v>
      </c>
      <c r="BF4" s="354">
        <v>55</v>
      </c>
      <c r="BG4" s="354">
        <v>56</v>
      </c>
      <c r="BH4" s="354">
        <v>57</v>
      </c>
      <c r="BI4" s="354">
        <v>58</v>
      </c>
      <c r="BJ4" s="354">
        <v>59</v>
      </c>
      <c r="BK4" s="354">
        <v>60</v>
      </c>
      <c r="BL4" s="354">
        <v>61</v>
      </c>
      <c r="BM4" s="354">
        <v>62</v>
      </c>
      <c r="BN4" s="354">
        <v>63</v>
      </c>
      <c r="BO4" s="354">
        <v>64</v>
      </c>
      <c r="BP4" s="354">
        <v>65</v>
      </c>
      <c r="BQ4" s="354">
        <v>66</v>
      </c>
      <c r="BR4" s="354">
        <v>67</v>
      </c>
      <c r="BS4" s="354">
        <v>68</v>
      </c>
      <c r="BT4" s="354">
        <v>69</v>
      </c>
      <c r="BU4" s="354">
        <v>70</v>
      </c>
      <c r="BV4" s="354">
        <v>71</v>
      </c>
      <c r="BW4" s="354">
        <v>72</v>
      </c>
      <c r="BX4" s="354">
        <v>73</v>
      </c>
      <c r="BY4" s="354">
        <v>74</v>
      </c>
      <c r="BZ4" s="354">
        <v>75</v>
      </c>
      <c r="CA4" s="354">
        <v>76</v>
      </c>
      <c r="CB4" s="354">
        <v>77</v>
      </c>
      <c r="CC4" s="354">
        <v>78</v>
      </c>
      <c r="CD4" s="354">
        <v>79</v>
      </c>
      <c r="CE4" s="354">
        <v>80</v>
      </c>
      <c r="CF4" s="354">
        <v>81</v>
      </c>
      <c r="CG4" s="354">
        <v>82</v>
      </c>
      <c r="CH4" s="354">
        <v>83</v>
      </c>
      <c r="CI4" s="354">
        <v>84</v>
      </c>
      <c r="CJ4" s="354">
        <v>85</v>
      </c>
      <c r="CK4" s="354">
        <v>86</v>
      </c>
      <c r="CL4" s="354">
        <v>87</v>
      </c>
      <c r="CM4" s="354">
        <v>88</v>
      </c>
      <c r="CN4" s="354">
        <v>89</v>
      </c>
      <c r="CO4" s="354">
        <v>90</v>
      </c>
      <c r="CP4" s="354">
        <v>91</v>
      </c>
      <c r="CQ4" s="354">
        <v>92</v>
      </c>
      <c r="CR4" s="354">
        <v>93</v>
      </c>
      <c r="CS4" s="354">
        <v>94</v>
      </c>
      <c r="CT4" s="354">
        <v>95</v>
      </c>
      <c r="CU4" s="354">
        <v>96</v>
      </c>
      <c r="CV4" s="354">
        <v>97</v>
      </c>
      <c r="CW4" s="354">
        <v>98</v>
      </c>
      <c r="CX4" s="354">
        <v>99</v>
      </c>
      <c r="CY4" s="354">
        <v>100</v>
      </c>
      <c r="CZ4" s="354">
        <v>101</v>
      </c>
      <c r="DA4" s="354">
        <v>102</v>
      </c>
      <c r="DB4" s="354">
        <v>103</v>
      </c>
      <c r="DC4" s="354">
        <v>104</v>
      </c>
      <c r="DD4" s="354">
        <v>105</v>
      </c>
      <c r="DE4" s="354">
        <v>106</v>
      </c>
      <c r="DF4" s="354">
        <v>107</v>
      </c>
      <c r="DG4" s="354">
        <v>108</v>
      </c>
      <c r="DH4" s="354">
        <v>109</v>
      </c>
      <c r="DI4" s="354">
        <v>110</v>
      </c>
      <c r="DJ4" s="354">
        <v>111</v>
      </c>
      <c r="DK4" s="354">
        <v>112</v>
      </c>
      <c r="DL4" s="354">
        <v>113</v>
      </c>
      <c r="DM4" s="354">
        <v>114</v>
      </c>
      <c r="DN4" s="354">
        <v>115</v>
      </c>
      <c r="DO4" s="354">
        <v>116</v>
      </c>
      <c r="DP4" s="354">
        <v>117</v>
      </c>
      <c r="DQ4" s="354">
        <v>118</v>
      </c>
      <c r="DR4" s="354">
        <v>119</v>
      </c>
      <c r="DS4" s="354">
        <v>120</v>
      </c>
    </row>
    <row r="5" spans="2:127" s="262" customFormat="1">
      <c r="B5" s="263" t="s">
        <v>399</v>
      </c>
      <c r="C5" s="264"/>
      <c r="D5" s="265">
        <v>0</v>
      </c>
      <c r="E5" s="265">
        <v>0</v>
      </c>
      <c r="F5" s="265">
        <v>0</v>
      </c>
      <c r="G5" s="265">
        <v>0</v>
      </c>
      <c r="H5" s="265">
        <v>0</v>
      </c>
      <c r="I5" s="265">
        <v>0</v>
      </c>
      <c r="J5" s="265">
        <v>0</v>
      </c>
      <c r="K5" s="265">
        <v>0</v>
      </c>
      <c r="L5" s="265">
        <v>0</v>
      </c>
      <c r="M5" s="265">
        <v>0</v>
      </c>
      <c r="N5" s="265">
        <v>0</v>
      </c>
      <c r="O5" s="265">
        <v>0</v>
      </c>
      <c r="P5" s="265">
        <v>0</v>
      </c>
      <c r="Q5" s="265">
        <v>0</v>
      </c>
      <c r="R5" s="265">
        <v>0</v>
      </c>
      <c r="S5" s="265">
        <v>0</v>
      </c>
      <c r="T5" s="265">
        <v>0</v>
      </c>
      <c r="U5" s="265">
        <v>0</v>
      </c>
      <c r="V5" s="265">
        <v>0</v>
      </c>
      <c r="W5" s="265">
        <v>0</v>
      </c>
      <c r="X5" s="265">
        <v>0</v>
      </c>
      <c r="Y5" s="265">
        <v>0</v>
      </c>
      <c r="Z5" s="265">
        <v>0</v>
      </c>
      <c r="AA5" s="265">
        <v>0</v>
      </c>
      <c r="AB5" s="265">
        <v>0</v>
      </c>
      <c r="AC5" s="265">
        <v>0</v>
      </c>
      <c r="AD5" s="265">
        <v>0</v>
      </c>
      <c r="AE5" s="265">
        <v>0</v>
      </c>
      <c r="AF5" s="265">
        <v>0</v>
      </c>
      <c r="AG5" s="265">
        <v>0</v>
      </c>
      <c r="AH5" s="265">
        <v>0</v>
      </c>
      <c r="AI5" s="265">
        <v>0</v>
      </c>
      <c r="AJ5" s="265">
        <v>0</v>
      </c>
      <c r="AK5" s="265">
        <v>0</v>
      </c>
      <c r="AL5" s="265">
        <v>0</v>
      </c>
      <c r="AM5" s="265">
        <v>0</v>
      </c>
      <c r="AN5" s="265">
        <v>0</v>
      </c>
      <c r="AO5" s="265">
        <v>0</v>
      </c>
      <c r="AP5" s="265">
        <v>0</v>
      </c>
      <c r="AQ5" s="265">
        <v>0</v>
      </c>
      <c r="AR5" s="265">
        <v>0</v>
      </c>
      <c r="AS5" s="265">
        <v>0</v>
      </c>
      <c r="AT5" s="265">
        <v>0</v>
      </c>
      <c r="AU5" s="265">
        <v>0</v>
      </c>
      <c r="AV5" s="265">
        <v>0</v>
      </c>
      <c r="AW5" s="265">
        <v>0</v>
      </c>
      <c r="AX5" s="265">
        <v>0</v>
      </c>
      <c r="AY5" s="265">
        <v>0</v>
      </c>
      <c r="AZ5" s="265">
        <v>0</v>
      </c>
      <c r="BA5" s="265">
        <v>0</v>
      </c>
      <c r="BB5" s="265">
        <v>0</v>
      </c>
      <c r="BC5" s="265">
        <v>0</v>
      </c>
      <c r="BD5" s="265">
        <v>0</v>
      </c>
      <c r="BE5" s="265">
        <v>0</v>
      </c>
      <c r="BF5" s="265">
        <v>0</v>
      </c>
      <c r="BG5" s="265">
        <v>0</v>
      </c>
      <c r="BH5" s="265">
        <v>0</v>
      </c>
      <c r="BI5" s="265">
        <v>0</v>
      </c>
      <c r="BJ5" s="265">
        <v>0</v>
      </c>
      <c r="BK5" s="265">
        <v>0</v>
      </c>
      <c r="BL5" s="265">
        <v>0</v>
      </c>
      <c r="BM5" s="265">
        <v>0</v>
      </c>
      <c r="BN5" s="265">
        <v>0</v>
      </c>
      <c r="BO5" s="265">
        <v>0</v>
      </c>
      <c r="BP5" s="265">
        <v>0</v>
      </c>
      <c r="BQ5" s="265">
        <v>0</v>
      </c>
      <c r="BR5" s="265">
        <v>0</v>
      </c>
      <c r="BS5" s="265">
        <v>0</v>
      </c>
      <c r="BT5" s="265">
        <v>0</v>
      </c>
      <c r="BU5" s="265">
        <v>0</v>
      </c>
      <c r="BV5" s="265">
        <v>0</v>
      </c>
      <c r="BW5" s="265">
        <v>0</v>
      </c>
      <c r="BX5" s="265">
        <v>0</v>
      </c>
      <c r="BY5" s="265">
        <v>0</v>
      </c>
      <c r="BZ5" s="265">
        <v>0</v>
      </c>
      <c r="CA5" s="265">
        <v>0</v>
      </c>
      <c r="CB5" s="265">
        <v>0</v>
      </c>
      <c r="CC5" s="265">
        <v>0</v>
      </c>
      <c r="CD5" s="265">
        <v>0</v>
      </c>
      <c r="CE5" s="265">
        <v>0</v>
      </c>
      <c r="CF5" s="265">
        <v>0</v>
      </c>
      <c r="CG5" s="265">
        <v>0</v>
      </c>
      <c r="CH5" s="265">
        <v>0</v>
      </c>
      <c r="CI5" s="265">
        <v>0</v>
      </c>
      <c r="CJ5" s="265">
        <v>0</v>
      </c>
      <c r="CK5" s="265">
        <v>0</v>
      </c>
      <c r="CL5" s="265">
        <v>0</v>
      </c>
      <c r="CM5" s="265">
        <v>0</v>
      </c>
      <c r="CN5" s="265">
        <v>0</v>
      </c>
      <c r="CO5" s="265">
        <v>0</v>
      </c>
      <c r="CP5" s="265">
        <v>0</v>
      </c>
      <c r="CQ5" s="265">
        <v>0</v>
      </c>
      <c r="CR5" s="265">
        <v>0</v>
      </c>
      <c r="CS5" s="265">
        <v>0</v>
      </c>
      <c r="CT5" s="265">
        <v>0</v>
      </c>
      <c r="CU5" s="265">
        <v>0</v>
      </c>
      <c r="CV5" s="265">
        <v>0</v>
      </c>
      <c r="CW5" s="265">
        <v>0</v>
      </c>
      <c r="CX5" s="265">
        <v>0</v>
      </c>
      <c r="CY5" s="265">
        <v>0</v>
      </c>
      <c r="CZ5" s="265">
        <v>0</v>
      </c>
      <c r="DA5" s="265">
        <v>0</v>
      </c>
      <c r="DB5" s="265">
        <v>0</v>
      </c>
      <c r="DC5" s="265">
        <v>0</v>
      </c>
      <c r="DD5" s="265">
        <v>0</v>
      </c>
      <c r="DE5" s="265">
        <v>0</v>
      </c>
      <c r="DF5" s="265">
        <v>0</v>
      </c>
      <c r="DG5" s="265">
        <v>0</v>
      </c>
      <c r="DH5" s="265">
        <v>0</v>
      </c>
      <c r="DI5" s="265">
        <v>0</v>
      </c>
      <c r="DJ5" s="265">
        <v>0</v>
      </c>
      <c r="DK5" s="265">
        <v>0</v>
      </c>
      <c r="DL5" s="265">
        <v>0</v>
      </c>
      <c r="DM5" s="265">
        <v>0</v>
      </c>
      <c r="DN5" s="265">
        <v>0</v>
      </c>
      <c r="DO5" s="265">
        <v>0</v>
      </c>
      <c r="DP5" s="265">
        <v>0</v>
      </c>
      <c r="DQ5" s="265">
        <v>0</v>
      </c>
      <c r="DR5" s="265">
        <v>0</v>
      </c>
      <c r="DS5" s="265">
        <v>0</v>
      </c>
      <c r="DT5" s="264"/>
      <c r="DU5" s="264"/>
      <c r="DV5" s="264"/>
      <c r="DW5" s="266"/>
    </row>
    <row r="6" spans="2:127" s="262" customFormat="1">
      <c r="B6" s="262" t="s">
        <v>400</v>
      </c>
      <c r="C6" s="267"/>
      <c r="D6" s="268">
        <v>1</v>
      </c>
      <c r="E6" s="268">
        <v>1</v>
      </c>
      <c r="F6" s="268">
        <v>1</v>
      </c>
      <c r="G6" s="268">
        <v>1</v>
      </c>
      <c r="H6" s="268">
        <v>1</v>
      </c>
      <c r="I6" s="268">
        <v>1</v>
      </c>
      <c r="J6" s="268">
        <v>1</v>
      </c>
      <c r="K6" s="268">
        <v>1</v>
      </c>
      <c r="L6" s="268">
        <v>1</v>
      </c>
      <c r="M6" s="268">
        <v>1</v>
      </c>
      <c r="N6" s="268">
        <v>1</v>
      </c>
      <c r="O6" s="268">
        <v>1</v>
      </c>
      <c r="P6" s="268">
        <v>0.93</v>
      </c>
      <c r="Q6" s="268">
        <f>P6-0.05</f>
        <v>0.88</v>
      </c>
      <c r="R6" s="268">
        <f t="shared" ref="R6:AA6" si="0">Q6-0.05</f>
        <v>0.83</v>
      </c>
      <c r="S6" s="268">
        <f t="shared" si="0"/>
        <v>0.77999999999999992</v>
      </c>
      <c r="T6" s="268">
        <f t="shared" si="0"/>
        <v>0.72999999999999987</v>
      </c>
      <c r="U6" s="268">
        <f t="shared" si="0"/>
        <v>0.67999999999999983</v>
      </c>
      <c r="V6" s="268">
        <f t="shared" si="0"/>
        <v>0.62999999999999978</v>
      </c>
      <c r="W6" s="268">
        <f t="shared" si="0"/>
        <v>0.57999999999999974</v>
      </c>
      <c r="X6" s="268">
        <f t="shared" si="0"/>
        <v>0.52999999999999969</v>
      </c>
      <c r="Y6" s="268">
        <f t="shared" si="0"/>
        <v>0.4799999999999997</v>
      </c>
      <c r="Z6" s="268">
        <f t="shared" si="0"/>
        <v>0.42999999999999972</v>
      </c>
      <c r="AA6" s="268">
        <f t="shared" si="0"/>
        <v>0.37999999999999973</v>
      </c>
      <c r="AB6" s="268">
        <f t="shared" ref="AB6:BH6" si="1">AA6-0.02</f>
        <v>0.35999999999999971</v>
      </c>
      <c r="AC6" s="268">
        <f t="shared" si="1"/>
        <v>0.33999999999999969</v>
      </c>
      <c r="AD6" s="268">
        <f t="shared" si="1"/>
        <v>0.31999999999999967</v>
      </c>
      <c r="AE6" s="268">
        <f t="shared" si="1"/>
        <v>0.29999999999999966</v>
      </c>
      <c r="AF6" s="268">
        <f t="shared" si="1"/>
        <v>0.27999999999999964</v>
      </c>
      <c r="AG6" s="268">
        <f t="shared" si="1"/>
        <v>0.25999999999999962</v>
      </c>
      <c r="AH6" s="268">
        <f t="shared" si="1"/>
        <v>0.23999999999999963</v>
      </c>
      <c r="AI6" s="268">
        <f t="shared" si="1"/>
        <v>0.21999999999999964</v>
      </c>
      <c r="AJ6" s="268">
        <f t="shared" si="1"/>
        <v>0.19999999999999965</v>
      </c>
      <c r="AK6" s="268">
        <f t="shared" si="1"/>
        <v>0.17999999999999966</v>
      </c>
      <c r="AL6" s="268">
        <f t="shared" si="1"/>
        <v>0.15999999999999967</v>
      </c>
      <c r="AM6" s="268">
        <f t="shared" si="1"/>
        <v>0.13999999999999968</v>
      </c>
      <c r="AN6" s="268">
        <f t="shared" si="1"/>
        <v>0.11999999999999968</v>
      </c>
      <c r="AO6" s="268">
        <f t="shared" si="1"/>
        <v>9.9999999999999672E-2</v>
      </c>
      <c r="AP6" s="268">
        <f t="shared" si="1"/>
        <v>7.9999999999999669E-2</v>
      </c>
      <c r="AQ6" s="268">
        <f t="shared" si="1"/>
        <v>5.9999999999999665E-2</v>
      </c>
      <c r="AR6" s="268">
        <f t="shared" si="1"/>
        <v>3.9999999999999661E-2</v>
      </c>
      <c r="AS6" s="268">
        <f t="shared" si="1"/>
        <v>1.999999999999966E-2</v>
      </c>
      <c r="AT6" s="268">
        <f t="shared" si="1"/>
        <v>-3.4000580129145419E-16</v>
      </c>
      <c r="AU6" s="268">
        <f t="shared" si="1"/>
        <v>-2.000000000000034E-2</v>
      </c>
      <c r="AV6" s="268">
        <f t="shared" si="1"/>
        <v>-4.0000000000000341E-2</v>
      </c>
      <c r="AW6" s="268">
        <f t="shared" si="1"/>
        <v>-6.0000000000000345E-2</v>
      </c>
      <c r="AX6" s="268">
        <f t="shared" si="1"/>
        <v>-8.0000000000000349E-2</v>
      </c>
      <c r="AY6" s="268">
        <f t="shared" si="1"/>
        <v>-0.10000000000000035</v>
      </c>
      <c r="AZ6" s="268">
        <f t="shared" si="1"/>
        <v>-0.12000000000000036</v>
      </c>
      <c r="BA6" s="268">
        <f t="shared" si="1"/>
        <v>-0.14000000000000035</v>
      </c>
      <c r="BB6" s="268">
        <f t="shared" si="1"/>
        <v>-0.16000000000000034</v>
      </c>
      <c r="BC6" s="268">
        <f t="shared" si="1"/>
        <v>-0.18000000000000033</v>
      </c>
      <c r="BD6" s="268">
        <f t="shared" si="1"/>
        <v>-0.20000000000000032</v>
      </c>
      <c r="BE6" s="268">
        <f t="shared" si="1"/>
        <v>-0.22000000000000031</v>
      </c>
      <c r="BF6" s="268">
        <f t="shared" si="1"/>
        <v>-0.2400000000000003</v>
      </c>
      <c r="BG6" s="268">
        <f t="shared" si="1"/>
        <v>-0.26000000000000029</v>
      </c>
      <c r="BH6" s="268">
        <f t="shared" si="1"/>
        <v>-0.2800000000000003</v>
      </c>
      <c r="BI6" s="268">
        <v>0.05</v>
      </c>
      <c r="BJ6" s="268">
        <v>0.05</v>
      </c>
      <c r="BK6" s="268">
        <v>0.05</v>
      </c>
      <c r="BL6" s="268">
        <v>0.05</v>
      </c>
      <c r="BM6" s="268">
        <v>0.05</v>
      </c>
      <c r="BN6" s="268">
        <v>0.05</v>
      </c>
      <c r="BO6" s="268">
        <v>0.05</v>
      </c>
      <c r="BP6" s="268">
        <v>0.05</v>
      </c>
      <c r="BQ6" s="268">
        <v>0.05</v>
      </c>
      <c r="BR6" s="268">
        <v>0.05</v>
      </c>
      <c r="BS6" s="268">
        <v>0.05</v>
      </c>
      <c r="BT6" s="268">
        <v>0.05</v>
      </c>
      <c r="BU6" s="268">
        <v>0.05</v>
      </c>
      <c r="BV6" s="268">
        <v>0.05</v>
      </c>
      <c r="BW6" s="268">
        <v>0.05</v>
      </c>
      <c r="BX6" s="268">
        <v>0.05</v>
      </c>
      <c r="BY6" s="268">
        <v>0.05</v>
      </c>
      <c r="BZ6" s="268">
        <v>0.05</v>
      </c>
      <c r="CA6" s="268">
        <v>0.05</v>
      </c>
      <c r="CB6" s="268">
        <v>0.05</v>
      </c>
      <c r="CC6" s="268">
        <v>0.05</v>
      </c>
      <c r="CD6" s="268">
        <v>0.05</v>
      </c>
      <c r="CE6" s="268">
        <v>0.05</v>
      </c>
      <c r="CF6" s="268">
        <v>0.05</v>
      </c>
      <c r="CG6" s="268">
        <v>0.05</v>
      </c>
      <c r="CH6" s="268">
        <v>0.05</v>
      </c>
      <c r="CI6" s="268">
        <v>0.05</v>
      </c>
      <c r="CJ6" s="268">
        <v>0.05</v>
      </c>
      <c r="CK6" s="268">
        <v>0.05</v>
      </c>
      <c r="CL6" s="268">
        <v>0.05</v>
      </c>
      <c r="CM6" s="268">
        <v>0.05</v>
      </c>
      <c r="CN6" s="268">
        <v>0.05</v>
      </c>
      <c r="CO6" s="268">
        <v>0.05</v>
      </c>
      <c r="CP6" s="268">
        <v>0.05</v>
      </c>
      <c r="CQ6" s="268">
        <v>0.05</v>
      </c>
      <c r="CR6" s="268">
        <v>0.05</v>
      </c>
      <c r="CS6" s="268">
        <v>0.05</v>
      </c>
      <c r="CT6" s="268">
        <v>0.05</v>
      </c>
      <c r="CU6" s="268">
        <v>0.05</v>
      </c>
      <c r="CV6" s="268">
        <v>0.05</v>
      </c>
      <c r="CW6" s="268">
        <v>0.05</v>
      </c>
      <c r="CX6" s="268">
        <v>0.05</v>
      </c>
      <c r="CY6" s="268">
        <v>0.05</v>
      </c>
      <c r="CZ6" s="268">
        <v>0.05</v>
      </c>
      <c r="DA6" s="268">
        <v>0.05</v>
      </c>
      <c r="DB6" s="268">
        <v>0.05</v>
      </c>
      <c r="DC6" s="268">
        <v>0.05</v>
      </c>
      <c r="DD6" s="268">
        <v>0.05</v>
      </c>
      <c r="DE6" s="268">
        <v>0.05</v>
      </c>
      <c r="DF6" s="268">
        <v>0.05</v>
      </c>
      <c r="DG6" s="268">
        <v>0.05</v>
      </c>
      <c r="DH6" s="268">
        <v>0.05</v>
      </c>
      <c r="DI6" s="268">
        <v>0.05</v>
      </c>
      <c r="DJ6" s="268">
        <v>0.05</v>
      </c>
      <c r="DK6" s="268">
        <v>0.05</v>
      </c>
      <c r="DL6" s="268">
        <v>0.05</v>
      </c>
      <c r="DM6" s="268">
        <v>0.05</v>
      </c>
      <c r="DN6" s="268">
        <v>0.05</v>
      </c>
      <c r="DO6" s="268">
        <v>0.05</v>
      </c>
      <c r="DP6" s="268">
        <v>0.05</v>
      </c>
      <c r="DQ6" s="268">
        <v>0.05</v>
      </c>
      <c r="DR6" s="268">
        <v>0.05</v>
      </c>
      <c r="DS6" s="268">
        <v>0.05</v>
      </c>
      <c r="DT6" s="267"/>
      <c r="DU6" s="267"/>
      <c r="DV6" s="267"/>
      <c r="DW6" s="266"/>
    </row>
    <row r="7" spans="2:127" s="262" customFormat="1">
      <c r="B7" s="263" t="s">
        <v>401</v>
      </c>
      <c r="C7" s="264"/>
      <c r="D7" s="269">
        <v>0.02</v>
      </c>
      <c r="E7" s="269">
        <v>0.02</v>
      </c>
      <c r="F7" s="269">
        <v>0.02</v>
      </c>
      <c r="G7" s="269">
        <v>0.02</v>
      </c>
      <c r="H7" s="269">
        <v>0.02</v>
      </c>
      <c r="I7" s="269">
        <v>0.02</v>
      </c>
      <c r="J7" s="269">
        <v>0.02</v>
      </c>
      <c r="K7" s="269">
        <v>0.02</v>
      </c>
      <c r="L7" s="269">
        <v>0.02</v>
      </c>
      <c r="M7" s="269">
        <v>0.02</v>
      </c>
      <c r="N7" s="269">
        <v>0.02</v>
      </c>
      <c r="O7" s="269">
        <v>0.02</v>
      </c>
      <c r="P7" s="269">
        <v>0.02</v>
      </c>
      <c r="Q7" s="269">
        <v>0.02</v>
      </c>
      <c r="R7" s="269">
        <v>0.02</v>
      </c>
      <c r="S7" s="269">
        <v>0.02</v>
      </c>
      <c r="T7" s="269">
        <v>0.02</v>
      </c>
      <c r="U7" s="269">
        <v>0.02</v>
      </c>
      <c r="V7" s="269">
        <v>0.02</v>
      </c>
      <c r="W7" s="269">
        <v>0.02</v>
      </c>
      <c r="X7" s="269">
        <v>0.02</v>
      </c>
      <c r="Y7" s="269">
        <v>0.02</v>
      </c>
      <c r="Z7" s="269">
        <v>0.02</v>
      </c>
      <c r="AA7" s="269">
        <v>0.02</v>
      </c>
      <c r="AB7" s="269">
        <v>0.02</v>
      </c>
      <c r="AC7" s="269">
        <v>0.02</v>
      </c>
      <c r="AD7" s="269">
        <v>0.01</v>
      </c>
      <c r="AE7" s="269">
        <v>0.01</v>
      </c>
      <c r="AF7" s="269">
        <v>0.01</v>
      </c>
      <c r="AG7" s="269">
        <v>0.01</v>
      </c>
      <c r="AH7" s="269">
        <v>0.01</v>
      </c>
      <c r="AI7" s="269">
        <v>0.01</v>
      </c>
      <c r="AJ7" s="269">
        <v>0.01</v>
      </c>
      <c r="AK7" s="269">
        <v>0.01</v>
      </c>
      <c r="AL7" s="269">
        <v>0.01</v>
      </c>
      <c r="AM7" s="269">
        <v>0.01</v>
      </c>
      <c r="AN7" s="269">
        <v>0.01</v>
      </c>
      <c r="AO7" s="269">
        <v>0.01</v>
      </c>
      <c r="AP7" s="269">
        <v>0.01</v>
      </c>
      <c r="AQ7" s="269">
        <v>0.01</v>
      </c>
      <c r="AR7" s="269">
        <v>0.01</v>
      </c>
      <c r="AS7" s="269">
        <v>0.01</v>
      </c>
      <c r="AT7" s="269">
        <v>0.01</v>
      </c>
      <c r="AU7" s="269">
        <v>0.01</v>
      </c>
      <c r="AV7" s="269">
        <v>0.01</v>
      </c>
      <c r="AW7" s="269">
        <v>0.01</v>
      </c>
      <c r="AX7" s="269">
        <v>0.01</v>
      </c>
      <c r="AY7" s="269">
        <v>0.01</v>
      </c>
      <c r="AZ7" s="269">
        <f>AY7</f>
        <v>0.01</v>
      </c>
      <c r="BA7" s="269">
        <f t="shared" ref="BA7:DL7" si="2">AZ7</f>
        <v>0.01</v>
      </c>
      <c r="BB7" s="269">
        <f t="shared" si="2"/>
        <v>0.01</v>
      </c>
      <c r="BC7" s="269">
        <f t="shared" si="2"/>
        <v>0.01</v>
      </c>
      <c r="BD7" s="269">
        <f t="shared" si="2"/>
        <v>0.01</v>
      </c>
      <c r="BE7" s="269">
        <f t="shared" si="2"/>
        <v>0.01</v>
      </c>
      <c r="BF7" s="269">
        <f t="shared" si="2"/>
        <v>0.01</v>
      </c>
      <c r="BG7" s="269">
        <f t="shared" si="2"/>
        <v>0.01</v>
      </c>
      <c r="BH7" s="269">
        <f t="shared" si="2"/>
        <v>0.01</v>
      </c>
      <c r="BI7" s="269">
        <f t="shared" si="2"/>
        <v>0.01</v>
      </c>
      <c r="BJ7" s="269">
        <f t="shared" si="2"/>
        <v>0.01</v>
      </c>
      <c r="BK7" s="269">
        <f t="shared" si="2"/>
        <v>0.01</v>
      </c>
      <c r="BL7" s="269">
        <f t="shared" si="2"/>
        <v>0.01</v>
      </c>
      <c r="BM7" s="269">
        <f t="shared" si="2"/>
        <v>0.01</v>
      </c>
      <c r="BN7" s="269">
        <f t="shared" si="2"/>
        <v>0.01</v>
      </c>
      <c r="BO7" s="269">
        <f t="shared" si="2"/>
        <v>0.01</v>
      </c>
      <c r="BP7" s="269">
        <f t="shared" si="2"/>
        <v>0.01</v>
      </c>
      <c r="BQ7" s="269">
        <f t="shared" si="2"/>
        <v>0.01</v>
      </c>
      <c r="BR7" s="269">
        <f t="shared" si="2"/>
        <v>0.01</v>
      </c>
      <c r="BS7" s="269">
        <f t="shared" si="2"/>
        <v>0.01</v>
      </c>
      <c r="BT7" s="269">
        <f t="shared" si="2"/>
        <v>0.01</v>
      </c>
      <c r="BU7" s="269">
        <f t="shared" si="2"/>
        <v>0.01</v>
      </c>
      <c r="BV7" s="269">
        <f t="shared" si="2"/>
        <v>0.01</v>
      </c>
      <c r="BW7" s="269">
        <f t="shared" si="2"/>
        <v>0.01</v>
      </c>
      <c r="BX7" s="269">
        <f t="shared" si="2"/>
        <v>0.01</v>
      </c>
      <c r="BY7" s="269">
        <f t="shared" si="2"/>
        <v>0.01</v>
      </c>
      <c r="BZ7" s="269">
        <f t="shared" si="2"/>
        <v>0.01</v>
      </c>
      <c r="CA7" s="269">
        <f t="shared" si="2"/>
        <v>0.01</v>
      </c>
      <c r="CB7" s="269">
        <f t="shared" si="2"/>
        <v>0.01</v>
      </c>
      <c r="CC7" s="269">
        <f t="shared" si="2"/>
        <v>0.01</v>
      </c>
      <c r="CD7" s="269">
        <f t="shared" si="2"/>
        <v>0.01</v>
      </c>
      <c r="CE7" s="269">
        <f t="shared" si="2"/>
        <v>0.01</v>
      </c>
      <c r="CF7" s="269">
        <f t="shared" si="2"/>
        <v>0.01</v>
      </c>
      <c r="CG7" s="269">
        <f t="shared" si="2"/>
        <v>0.01</v>
      </c>
      <c r="CH7" s="269">
        <f t="shared" si="2"/>
        <v>0.01</v>
      </c>
      <c r="CI7" s="269">
        <f t="shared" si="2"/>
        <v>0.01</v>
      </c>
      <c r="CJ7" s="269">
        <f t="shared" si="2"/>
        <v>0.01</v>
      </c>
      <c r="CK7" s="269">
        <f t="shared" si="2"/>
        <v>0.01</v>
      </c>
      <c r="CL7" s="269">
        <f t="shared" si="2"/>
        <v>0.01</v>
      </c>
      <c r="CM7" s="269">
        <f t="shared" si="2"/>
        <v>0.01</v>
      </c>
      <c r="CN7" s="269">
        <f t="shared" si="2"/>
        <v>0.01</v>
      </c>
      <c r="CO7" s="269">
        <f t="shared" si="2"/>
        <v>0.01</v>
      </c>
      <c r="CP7" s="269">
        <f t="shared" si="2"/>
        <v>0.01</v>
      </c>
      <c r="CQ7" s="269">
        <f t="shared" si="2"/>
        <v>0.01</v>
      </c>
      <c r="CR7" s="269">
        <f t="shared" si="2"/>
        <v>0.01</v>
      </c>
      <c r="CS7" s="269">
        <f t="shared" si="2"/>
        <v>0.01</v>
      </c>
      <c r="CT7" s="269">
        <f t="shared" si="2"/>
        <v>0.01</v>
      </c>
      <c r="CU7" s="269">
        <f t="shared" si="2"/>
        <v>0.01</v>
      </c>
      <c r="CV7" s="269">
        <f t="shared" si="2"/>
        <v>0.01</v>
      </c>
      <c r="CW7" s="269">
        <f t="shared" si="2"/>
        <v>0.01</v>
      </c>
      <c r="CX7" s="269">
        <f t="shared" si="2"/>
        <v>0.01</v>
      </c>
      <c r="CY7" s="269">
        <f t="shared" si="2"/>
        <v>0.01</v>
      </c>
      <c r="CZ7" s="269">
        <f t="shared" si="2"/>
        <v>0.01</v>
      </c>
      <c r="DA7" s="269">
        <f t="shared" si="2"/>
        <v>0.01</v>
      </c>
      <c r="DB7" s="269">
        <f t="shared" si="2"/>
        <v>0.01</v>
      </c>
      <c r="DC7" s="269">
        <f t="shared" si="2"/>
        <v>0.01</v>
      </c>
      <c r="DD7" s="269">
        <f t="shared" si="2"/>
        <v>0.01</v>
      </c>
      <c r="DE7" s="269">
        <f t="shared" si="2"/>
        <v>0.01</v>
      </c>
      <c r="DF7" s="269">
        <f t="shared" si="2"/>
        <v>0.01</v>
      </c>
      <c r="DG7" s="269">
        <f t="shared" si="2"/>
        <v>0.01</v>
      </c>
      <c r="DH7" s="269">
        <f t="shared" si="2"/>
        <v>0.01</v>
      </c>
      <c r="DI7" s="269">
        <f t="shared" si="2"/>
        <v>0.01</v>
      </c>
      <c r="DJ7" s="269">
        <f t="shared" si="2"/>
        <v>0.01</v>
      </c>
      <c r="DK7" s="269">
        <f t="shared" si="2"/>
        <v>0.01</v>
      </c>
      <c r="DL7" s="269">
        <f t="shared" si="2"/>
        <v>0.01</v>
      </c>
      <c r="DM7" s="269">
        <f t="shared" ref="DM7:DS7" si="3">DL7</f>
        <v>0.01</v>
      </c>
      <c r="DN7" s="269">
        <f t="shared" si="3"/>
        <v>0.01</v>
      </c>
      <c r="DO7" s="269">
        <f t="shared" si="3"/>
        <v>0.01</v>
      </c>
      <c r="DP7" s="269">
        <f t="shared" si="3"/>
        <v>0.01</v>
      </c>
      <c r="DQ7" s="269">
        <f t="shared" si="3"/>
        <v>0.01</v>
      </c>
      <c r="DR7" s="269">
        <f t="shared" si="3"/>
        <v>0.01</v>
      </c>
      <c r="DS7" s="269">
        <f t="shared" si="3"/>
        <v>0.01</v>
      </c>
      <c r="DT7" s="264"/>
      <c r="DU7" s="264"/>
      <c r="DV7" s="264"/>
      <c r="DW7" s="266"/>
    </row>
    <row r="8" spans="2:127">
      <c r="B8" s="262" t="s">
        <v>402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b78988a-d698-4a94-b5a3-8566cbc73140" xsi:nil="true"/>
    <lcf76f155ced4ddcb4097134ff3c332f xmlns="207c10c7-e0d8-482b-a6c7-c9e791745e8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D26F23CE3E06548BFF4C92CF008BE3C" ma:contentTypeVersion="14" ma:contentTypeDescription="Create a new document." ma:contentTypeScope="" ma:versionID="8893f2cb804234a0872f74f7132de121">
  <xsd:schema xmlns:xsd="http://www.w3.org/2001/XMLSchema" xmlns:xs="http://www.w3.org/2001/XMLSchema" xmlns:p="http://schemas.microsoft.com/office/2006/metadata/properties" xmlns:ns2="207c10c7-e0d8-482b-a6c7-c9e791745e81" xmlns:ns3="bb78988a-d698-4a94-b5a3-8566cbc73140" targetNamespace="http://schemas.microsoft.com/office/2006/metadata/properties" ma:root="true" ma:fieldsID="95905f967609f01ec38435229e43ae99" ns2:_="" ns3:_="">
    <xsd:import namespace="207c10c7-e0d8-482b-a6c7-c9e791745e81"/>
    <xsd:import namespace="bb78988a-d698-4a94-b5a3-8566cbc73140"/>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Location" minOccurs="0"/>
                <xsd:element ref="ns2:MediaServiceOCR" minOccurs="0"/>
                <xsd:element ref="ns2:MediaLengthInSecond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7c10c7-e0d8-482b-a6c7-c9e791745e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b699c0f5-9818-4c45-aff3-f5f6c2ac01cb"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dexed="true"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b78988a-d698-4a94-b5a3-8566cbc7314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aed1187-fa6b-493a-b69f-1762915ebaac}" ma:internalName="TaxCatchAll" ma:showField="CatchAllData" ma:web="bb78988a-d698-4a94-b5a3-8566cbc73140">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A95DEC-EB3B-4DD2-9CA5-5A42FB45B8E0}">
  <ds:schemaRefs>
    <ds:schemaRef ds:uri="http://schemas.microsoft.com/office/2006/metadata/properties"/>
    <ds:schemaRef ds:uri="http://schemas.microsoft.com/office/infopath/2007/PartnerControls"/>
    <ds:schemaRef ds:uri="bb78988a-d698-4a94-b5a3-8566cbc73140"/>
    <ds:schemaRef ds:uri="207c10c7-e0d8-482b-a6c7-c9e791745e81"/>
  </ds:schemaRefs>
</ds:datastoreItem>
</file>

<file path=customXml/itemProps2.xml><?xml version="1.0" encoding="utf-8"?>
<ds:datastoreItem xmlns:ds="http://schemas.openxmlformats.org/officeDocument/2006/customXml" ds:itemID="{DE2B4A8A-364F-4BD7-AFCF-F7276A443D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7c10c7-e0d8-482b-a6c7-c9e791745e81"/>
    <ds:schemaRef ds:uri="bb78988a-d698-4a94-b5a3-8566cbc73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7551AC-CC00-4023-9828-8571BAF0515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7</vt:i4>
      </vt:variant>
    </vt:vector>
  </HeadingPairs>
  <TitlesOfParts>
    <vt:vector size="29" baseType="lpstr">
      <vt:lpstr>Summary</vt:lpstr>
      <vt:lpstr>Inputs &amp; Assumptions</vt:lpstr>
      <vt:lpstr>Tax Analysis</vt:lpstr>
      <vt:lpstr>Cash Flows &amp; Summary</vt:lpstr>
      <vt:lpstr>Email Snap Shot</vt:lpstr>
      <vt:lpstr>Pro Forma</vt:lpstr>
      <vt:lpstr>Waterfall</vt:lpstr>
      <vt:lpstr>Sensitivities</vt:lpstr>
      <vt:lpstr>Granular rates</vt:lpstr>
      <vt:lpstr>CapEx </vt:lpstr>
      <vt:lpstr>Capex-2</vt:lpstr>
      <vt:lpstr>7acres Schedule</vt:lpstr>
      <vt:lpstr>Capex-Final</vt:lpstr>
      <vt:lpstr>Amortization</vt:lpstr>
      <vt:lpstr>Draw Schedule</vt:lpstr>
      <vt:lpstr>Costar</vt:lpstr>
      <vt:lpstr>Unit Comps</vt:lpstr>
      <vt:lpstr>Y1Budget</vt:lpstr>
      <vt:lpstr>Loan Matrix</vt:lpstr>
      <vt:lpstr>CapEx</vt:lpstr>
      <vt:lpstr>Comparables</vt:lpstr>
      <vt:lpstr>Preferred Equity</vt:lpstr>
      <vt:lpstr>'7acres Schedule'!Pref</vt:lpstr>
      <vt:lpstr>Pref</vt:lpstr>
      <vt:lpstr>'7acres Schedule'!Print_Area</vt:lpstr>
      <vt:lpstr>'Preferred Equity'!Print_Area</vt:lpstr>
      <vt:lpstr>Y1Budget!Print_Area</vt:lpstr>
      <vt:lpstr>'7acres Schedule'!Unit_Count</vt:lpstr>
      <vt:lpstr>Unit_Count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Terrancewise@aspenfunds.us</dc:creator>
  <cp:keywords/>
  <dc:description/>
  <cp:lastModifiedBy>Terrance Wise</cp:lastModifiedBy>
  <cp:revision/>
  <dcterms:created xsi:type="dcterms:W3CDTF">2018-05-28T19:38:04Z</dcterms:created>
  <dcterms:modified xsi:type="dcterms:W3CDTF">2023-11-03T20:27:58Z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0x0101007D26F23CE3E06548BFF4C92CF008BE3C</vt:lpwstr>
  </property>
  <property fmtid="{D5CDD505-2E9C-101B-9397-08002B2CF9AE}" pid="3" name="MediaServiceImageTags">
    <vt:lpwstr/>
  </property>
</Properties>
</file>